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5255" windowHeight="8160" activeTab="5"/>
  </bookViews>
  <sheets>
    <sheet name="INPUT DATA" sheetId="12" r:id="rId1"/>
    <sheet name="OUTPUT" sheetId="18" r:id="rId2"/>
    <sheet name="Pop_Projection" sheetId="13" r:id="rId3"/>
    <sheet name="Waste Generation_STP" sheetId="8" r:id="rId4"/>
    <sheet name="SPS_Pumping Main" sheetId="6" r:id="rId5"/>
    <sheet name="Estimate" sheetId="15" r:id="rId6"/>
  </sheets>
  <definedNames>
    <definedName name="Arthematic_Growth" localSheetId="0">'INPUT DATA'!#REF!</definedName>
  </definedNames>
  <calcPr calcId="124519"/>
</workbook>
</file>

<file path=xl/calcChain.xml><?xml version="1.0" encoding="utf-8"?>
<calcChain xmlns="http://schemas.openxmlformats.org/spreadsheetml/2006/main">
  <c r="E8" i="15"/>
  <c r="E6"/>
  <c r="E5"/>
  <c r="M36" i="12"/>
  <c r="L36"/>
  <c r="N35"/>
  <c r="M35"/>
  <c r="L35"/>
  <c r="G36" i="18"/>
  <c r="G30"/>
  <c r="G31"/>
  <c r="G32"/>
  <c r="G33"/>
  <c r="G34"/>
  <c r="G35"/>
  <c r="F30"/>
  <c r="F31"/>
  <c r="F32"/>
  <c r="F33"/>
  <c r="F34"/>
  <c r="F35"/>
  <c r="F36"/>
  <c r="E30"/>
  <c r="E31"/>
  <c r="E32"/>
  <c r="E33"/>
  <c r="E34"/>
  <c r="E35"/>
  <c r="E36"/>
  <c r="F29"/>
  <c r="G29"/>
  <c r="E29"/>
  <c r="D6" i="15"/>
  <c r="G50" i="6"/>
  <c r="F51"/>
  <c r="E51"/>
  <c r="F45"/>
  <c r="G45"/>
  <c r="E45"/>
  <c r="F44"/>
  <c r="G44"/>
  <c r="E44"/>
  <c r="F52"/>
  <c r="G52"/>
  <c r="E52"/>
  <c r="G41"/>
  <c r="E41"/>
  <c r="F8"/>
  <c r="E8"/>
  <c r="G7"/>
  <c r="G36" s="1"/>
  <c r="F7"/>
  <c r="E7"/>
  <c r="E36" s="1"/>
  <c r="F41" l="1"/>
  <c r="E37"/>
  <c r="E38" s="1"/>
  <c r="E49" s="1"/>
  <c r="G37"/>
  <c r="G38" s="1"/>
  <c r="G49" s="1"/>
  <c r="E22"/>
  <c r="E23" s="1"/>
  <c r="G22"/>
  <c r="G23" s="1"/>
  <c r="E31"/>
  <c r="G31"/>
  <c r="F36"/>
  <c r="F22"/>
  <c r="F23" s="1"/>
  <c r="F31"/>
  <c r="F37" l="1"/>
  <c r="F38" s="1"/>
  <c r="F49" s="1"/>
  <c r="E26"/>
  <c r="E27" s="1"/>
  <c r="E28" s="1"/>
  <c r="E29" s="1"/>
  <c r="E48" s="1"/>
  <c r="E24"/>
  <c r="E30" s="1"/>
  <c r="E32" s="1"/>
  <c r="F24"/>
  <c r="F30" s="1"/>
  <c r="F32" s="1"/>
  <c r="F26"/>
  <c r="F27" s="1"/>
  <c r="F28" s="1"/>
  <c r="F29" s="1"/>
  <c r="F48" s="1"/>
  <c r="G26"/>
  <c r="G27" s="1"/>
  <c r="G28" s="1"/>
  <c r="G29" s="1"/>
  <c r="G48" s="1"/>
  <c r="G24"/>
  <c r="G30" s="1"/>
  <c r="G32" s="1"/>
  <c r="G46" l="1"/>
  <c r="G54" s="1"/>
  <c r="G42"/>
  <c r="G43" s="1"/>
  <c r="G39" s="1"/>
  <c r="G33"/>
  <c r="G34" s="1"/>
  <c r="G35" s="1"/>
  <c r="F42"/>
  <c r="F43" s="1"/>
  <c r="F39" s="1"/>
  <c r="F33"/>
  <c r="F34" s="1"/>
  <c r="F35" s="1"/>
  <c r="F46"/>
  <c r="F54" s="1"/>
  <c r="E46"/>
  <c r="E54" s="1"/>
  <c r="E42"/>
  <c r="E43" s="1"/>
  <c r="E39" s="1"/>
  <c r="E33"/>
  <c r="E34" s="1"/>
  <c r="E35" s="1"/>
  <c r="E50" l="1"/>
  <c r="E53"/>
  <c r="F50"/>
  <c r="F53"/>
  <c r="G51"/>
  <c r="G53" s="1"/>
  <c r="D5" i="15" l="1"/>
  <c r="E9" i="13"/>
  <c r="F7" i="8"/>
  <c r="F8"/>
  <c r="F9"/>
  <c r="F10"/>
  <c r="F11"/>
  <c r="F12"/>
  <c r="F6"/>
  <c r="G7"/>
  <c r="G8"/>
  <c r="G9"/>
  <c r="G10"/>
  <c r="G11"/>
  <c r="G12"/>
  <c r="G6"/>
  <c r="H21"/>
  <c r="G22" i="18" s="1"/>
  <c r="H18" i="8"/>
  <c r="G19" i="18" s="1"/>
  <c r="I31" i="13"/>
  <c r="I30"/>
  <c r="I29"/>
  <c r="I28"/>
  <c r="B7" i="18"/>
  <c r="B8"/>
  <c r="B9"/>
  <c r="B10"/>
  <c r="B11"/>
  <c r="B12"/>
  <c r="B6"/>
  <c r="E7" i="15" l="1"/>
  <c r="M21" i="12" l="1"/>
  <c r="D32" i="13" l="1"/>
  <c r="E32"/>
  <c r="F32"/>
  <c r="G32"/>
  <c r="H32"/>
  <c r="C32"/>
  <c r="B5"/>
  <c r="B22" s="1"/>
  <c r="B6"/>
  <c r="B7"/>
  <c r="B8"/>
  <c r="B9"/>
  <c r="B4"/>
  <c r="A26"/>
  <c r="A25"/>
  <c r="A24"/>
  <c r="A23"/>
  <c r="A22"/>
  <c r="A21"/>
  <c r="A15"/>
  <c r="A13"/>
  <c r="A11"/>
  <c r="H28" l="1"/>
  <c r="F9"/>
  <c r="F10" s="1"/>
  <c r="F11" s="1"/>
  <c r="F12" s="1"/>
  <c r="F13" s="1"/>
  <c r="F14" s="1"/>
  <c r="F15" s="1"/>
  <c r="F16" s="1"/>
  <c r="D9"/>
  <c r="C9"/>
  <c r="C5"/>
  <c r="D5"/>
  <c r="B25"/>
  <c r="D8"/>
  <c r="C8"/>
  <c r="B23"/>
  <c r="C23" s="1"/>
  <c r="D6"/>
  <c r="C6"/>
  <c r="D7"/>
  <c r="C7"/>
  <c r="B21"/>
  <c r="B24"/>
  <c r="B26"/>
  <c r="C26" l="1"/>
  <c r="E26"/>
  <c r="C25"/>
  <c r="D26" s="1"/>
  <c r="E25"/>
  <c r="C22"/>
  <c r="E22"/>
  <c r="C24"/>
  <c r="D25" s="1"/>
  <c r="E24"/>
  <c r="E23"/>
  <c r="D23" l="1"/>
  <c r="C27"/>
  <c r="E27"/>
  <c r="E28" s="1"/>
  <c r="E29" s="1"/>
  <c r="E30" s="1"/>
  <c r="E31" s="1"/>
  <c r="D24"/>
  <c r="C28" l="1"/>
  <c r="D27"/>
  <c r="D28" s="1"/>
  <c r="B28"/>
  <c r="B10" s="1"/>
  <c r="G28" l="1"/>
  <c r="H29" s="1"/>
  <c r="E10"/>
  <c r="C29"/>
  <c r="D29"/>
  <c r="F28"/>
  <c r="C10"/>
  <c r="D10"/>
  <c r="B6" i="8"/>
  <c r="B29" i="13"/>
  <c r="B12" s="1"/>
  <c r="E12" s="1"/>
  <c r="C6" i="18" l="1"/>
  <c r="G29" i="13"/>
  <c r="H30" s="1"/>
  <c r="C30"/>
  <c r="B30" s="1"/>
  <c r="B14" s="1"/>
  <c r="D30"/>
  <c r="F29"/>
  <c r="D12"/>
  <c r="C12"/>
  <c r="C11" s="1"/>
  <c r="B8" i="8"/>
  <c r="C6"/>
  <c r="D6" s="1"/>
  <c r="E6" s="1"/>
  <c r="G30" i="13" l="1"/>
  <c r="H31" s="1"/>
  <c r="E14"/>
  <c r="C8" i="18"/>
  <c r="C31" i="13"/>
  <c r="D31"/>
  <c r="F30"/>
  <c r="C14"/>
  <c r="C13" s="1"/>
  <c r="D14"/>
  <c r="C8" i="8"/>
  <c r="D8" s="1"/>
  <c r="E8" s="1"/>
  <c r="D11" i="13"/>
  <c r="B11"/>
  <c r="E11" s="1"/>
  <c r="H6" i="8"/>
  <c r="D6" i="18" s="1"/>
  <c r="B10" i="8"/>
  <c r="C10" i="18" l="1"/>
  <c r="F31" i="13"/>
  <c r="B31"/>
  <c r="B16" s="1"/>
  <c r="C10" i="8"/>
  <c r="D10" s="1"/>
  <c r="E10" s="1"/>
  <c r="D13" i="13"/>
  <c r="B13"/>
  <c r="E13" s="1"/>
  <c r="B7" i="8"/>
  <c r="H8"/>
  <c r="D8" i="18" s="1"/>
  <c r="G5" i="15"/>
  <c r="G31" i="13" l="1"/>
  <c r="E16"/>
  <c r="C7" i="18"/>
  <c r="D16" i="13"/>
  <c r="C16"/>
  <c r="C15" s="1"/>
  <c r="B12" i="8"/>
  <c r="H10"/>
  <c r="D10" i="18" s="1"/>
  <c r="C7" i="8"/>
  <c r="D7" s="1"/>
  <c r="E7" s="1"/>
  <c r="B9"/>
  <c r="C9" i="18" l="1"/>
  <c r="C12"/>
  <c r="C12" i="8"/>
  <c r="D12" s="1"/>
  <c r="E12" s="1"/>
  <c r="D15" i="13"/>
  <c r="B15"/>
  <c r="E15" s="1"/>
  <c r="C9" i="8"/>
  <c r="D9" s="1"/>
  <c r="E9" s="1"/>
  <c r="H7"/>
  <c r="D7" i="18" s="1"/>
  <c r="B11" i="8" l="1"/>
  <c r="H12"/>
  <c r="H9"/>
  <c r="D9" i="18" s="1"/>
  <c r="H17" i="8" l="1"/>
  <c r="D12" i="18"/>
  <c r="C11"/>
  <c r="C11" i="8"/>
  <c r="D11" s="1"/>
  <c r="E11" s="1"/>
  <c r="H19" l="1"/>
  <c r="G18" i="18"/>
  <c r="G20" s="1"/>
  <c r="H11" i="8"/>
  <c r="D11" i="18" s="1"/>
  <c r="G23" l="1"/>
  <c r="G24" s="1"/>
  <c r="H20" i="8"/>
  <c r="H22"/>
  <c r="D7" i="15" s="1"/>
  <c r="G7" s="1"/>
  <c r="G21" i="18" l="1"/>
  <c r="D8" i="15"/>
  <c r="G8" s="1"/>
  <c r="G6"/>
  <c r="G9" l="1"/>
  <c r="G11" s="1"/>
  <c r="G10"/>
  <c r="G12" l="1"/>
</calcChain>
</file>

<file path=xl/sharedStrings.xml><?xml version="1.0" encoding="utf-8"?>
<sst xmlns="http://schemas.openxmlformats.org/spreadsheetml/2006/main" count="336" uniqueCount="206">
  <si>
    <t>I</t>
  </si>
  <si>
    <t>Population</t>
  </si>
  <si>
    <t>Year</t>
  </si>
  <si>
    <t>Assumptions</t>
  </si>
  <si>
    <t>Households</t>
  </si>
  <si>
    <t>II</t>
  </si>
  <si>
    <t>Quantity</t>
  </si>
  <si>
    <t>Nos</t>
  </si>
  <si>
    <t>MLD</t>
  </si>
  <si>
    <t>KM</t>
  </si>
  <si>
    <t>Population Projections</t>
  </si>
  <si>
    <t>Market Rates</t>
  </si>
  <si>
    <t>Method/Basis</t>
  </si>
  <si>
    <t xml:space="preserve">Population Projections </t>
  </si>
  <si>
    <t>Available Projected Data</t>
  </si>
  <si>
    <t>If the above option is "Available Projected Data" enter projected population below</t>
  </si>
  <si>
    <t>If the above option is "Growth Rate based Project" enter below the Decadal Growth Rate to be used for Projection</t>
  </si>
  <si>
    <t>Decade</t>
  </si>
  <si>
    <t>2001-11</t>
  </si>
  <si>
    <t>2011-21</t>
  </si>
  <si>
    <t>2021-31</t>
  </si>
  <si>
    <t>2031-41</t>
  </si>
  <si>
    <t>Growth Rate%</t>
  </si>
  <si>
    <t>Table 1: Population Projection</t>
  </si>
  <si>
    <t>Decadal Growth Rate</t>
  </si>
  <si>
    <t>Annual Growth Rate</t>
  </si>
  <si>
    <t>HH Size</t>
  </si>
  <si>
    <t>Arithmetic Growth Method (AM)</t>
  </si>
  <si>
    <t>Incremental Increase (IM)</t>
  </si>
  <si>
    <t>Geometric Growth Method (GM)</t>
  </si>
  <si>
    <t>Average of AM_IM_GM</t>
  </si>
  <si>
    <t>Growth Rate based Projection</t>
  </si>
  <si>
    <t>Rs</t>
  </si>
  <si>
    <t>LPCD</t>
  </si>
  <si>
    <t>Total</t>
  </si>
  <si>
    <t>DI</t>
  </si>
  <si>
    <t>D</t>
  </si>
  <si>
    <t>DI K7 Dia in mm</t>
  </si>
  <si>
    <t>Rs/meter</t>
  </si>
  <si>
    <t>C</t>
  </si>
  <si>
    <t>m</t>
  </si>
  <si>
    <t>S No</t>
  </si>
  <si>
    <t>Item</t>
  </si>
  <si>
    <t xml:space="preserve">Rate </t>
  </si>
  <si>
    <t>Unit</t>
  </si>
  <si>
    <t>Amount</t>
  </si>
  <si>
    <t>KW</t>
  </si>
  <si>
    <t>No</t>
  </si>
  <si>
    <t xml:space="preserve">Physical Contingency  </t>
  </si>
  <si>
    <t>Sub Total</t>
  </si>
  <si>
    <t>Grand Total</t>
  </si>
  <si>
    <t>III</t>
  </si>
  <si>
    <t>Design Period</t>
  </si>
  <si>
    <t>Base Year</t>
  </si>
  <si>
    <t>No. of Years: Choose from drop down</t>
  </si>
  <si>
    <t>mm</t>
  </si>
  <si>
    <t>Other contingencies</t>
  </si>
  <si>
    <t>Parameter</t>
  </si>
  <si>
    <t>Units</t>
  </si>
  <si>
    <t>Table 7: Estimate</t>
  </si>
  <si>
    <t>Table 1: Projected Population &amp; Water Demand</t>
  </si>
  <si>
    <t>Input Growth Rate</t>
  </si>
  <si>
    <t xml:space="preserve">Particulars </t>
  </si>
  <si>
    <t>ha</t>
  </si>
  <si>
    <t>DI K7</t>
  </si>
  <si>
    <t>City</t>
  </si>
  <si>
    <t>colours. Input data or review the data/result according to following color codes:</t>
  </si>
  <si>
    <t>Review the provided values &amp;</t>
  </si>
  <si>
    <t>revise/update if required</t>
  </si>
  <si>
    <t>No value to be entered</t>
  </si>
  <si>
    <t>Calculates automatically</t>
  </si>
  <si>
    <t>Input data to be provided</t>
  </si>
  <si>
    <t>User Instructions</t>
  </si>
  <si>
    <t xml:space="preserve">then it should be given in decadal growth  </t>
  </si>
  <si>
    <t xml:space="preserve">standard methods. If decadal growth is assigned for future </t>
  </si>
  <si>
    <t>No data to be entered select from drop down menu</t>
  </si>
  <si>
    <t xml:space="preserve">Template for Deign and Estimation of Sewerage System </t>
  </si>
  <si>
    <t>Hapur</t>
  </si>
  <si>
    <t>Present Sewerage System</t>
  </si>
  <si>
    <t>Input Data</t>
  </si>
  <si>
    <t>Waste Generation</t>
  </si>
  <si>
    <t>Present Population</t>
  </si>
  <si>
    <t>Sewage disposal through sewers</t>
  </si>
  <si>
    <t>No of Sewer connections</t>
  </si>
  <si>
    <t>Persons</t>
  </si>
  <si>
    <t>Coverage with sewer network</t>
  </si>
  <si>
    <t>STP Design Capacity</t>
  </si>
  <si>
    <t>Length of Gravity Sewer Network</t>
  </si>
  <si>
    <t>No of Sewage Pumping Stations</t>
  </si>
  <si>
    <t>STP Actual Flow</t>
  </si>
  <si>
    <t>No of Employees for sewerage</t>
  </si>
  <si>
    <t>Road Length Pucca</t>
  </si>
  <si>
    <t xml:space="preserve">Road Length Kutcha </t>
  </si>
  <si>
    <t>Design Period for STP</t>
  </si>
  <si>
    <t>SewageTreatment Plant, Rate per MLD</t>
  </si>
  <si>
    <t>Table 2: Waste Water quantity Generation</t>
  </si>
  <si>
    <t>Waste Water</t>
  </si>
  <si>
    <t>WW in Sewers</t>
  </si>
  <si>
    <t>Waste Water qty reaching sewers</t>
  </si>
  <si>
    <t>GW Infiltration</t>
  </si>
  <si>
    <t>Qty other sources</t>
  </si>
  <si>
    <t xml:space="preserve">Table 3: STP Capacity Requirement </t>
  </si>
  <si>
    <t>Ultimate STP Capacity Required (30 years design period)</t>
  </si>
  <si>
    <t xml:space="preserve">Land requirement for STP </t>
  </si>
  <si>
    <t>Existing Capacity of STPs</t>
  </si>
  <si>
    <t>STP capacity required to be developed now</t>
  </si>
  <si>
    <t>ASP</t>
  </si>
  <si>
    <t>Ha/MLD</t>
  </si>
  <si>
    <t>STP capacity to develop in stages</t>
  </si>
  <si>
    <t>Stages</t>
  </si>
  <si>
    <t>No Modules</t>
  </si>
  <si>
    <t>STP capacity for Stage 1</t>
  </si>
  <si>
    <t>Qty of waste  from other sources</t>
  </si>
  <si>
    <t>STP capacity of 30 years to be developed in modules of equal capacity</t>
  </si>
  <si>
    <t>Ground Water Infiltration</t>
  </si>
  <si>
    <t>LPD/Ha</t>
  </si>
  <si>
    <t>Ground Water Table</t>
  </si>
  <si>
    <t>Area of Municipal Council</t>
  </si>
  <si>
    <t>Area of Master Plan Area, 2031</t>
  </si>
  <si>
    <t>Sewer Net work</t>
  </si>
  <si>
    <t>Construction of Sewage Pump House</t>
  </si>
  <si>
    <t>Construction of Sewage Treatment Plant</t>
  </si>
  <si>
    <t>Cost of Land for STP, SPS</t>
  </si>
  <si>
    <t>Ha</t>
  </si>
  <si>
    <t>Sewer Network per KM</t>
  </si>
  <si>
    <t>Table 3: Sewage Pumping Station</t>
  </si>
  <si>
    <t>Sr. no</t>
  </si>
  <si>
    <t>Design of Sewage Lifting Station</t>
  </si>
  <si>
    <t xml:space="preserve">PS -1 </t>
  </si>
  <si>
    <t>PS -2</t>
  </si>
  <si>
    <t>PS -3</t>
  </si>
  <si>
    <t>A</t>
  </si>
  <si>
    <r>
      <t xml:space="preserve">Input Information: </t>
    </r>
    <r>
      <rPr>
        <sz val="9"/>
        <rFont val="Arial"/>
        <family val="2"/>
      </rPr>
      <t xml:space="preserve">In yellow cells information to be filled as per particular requirement  </t>
    </r>
  </si>
  <si>
    <t>Peak Sewage flow</t>
  </si>
  <si>
    <t>lps</t>
  </si>
  <si>
    <t>Peak factor</t>
  </si>
  <si>
    <t>Liquid depth in wet well assumed</t>
  </si>
  <si>
    <t>Invert Level</t>
  </si>
  <si>
    <t>Ground Level</t>
  </si>
  <si>
    <t>Delivery length of pumping Main</t>
  </si>
  <si>
    <t>Level of Delivery Point above GL of SPS</t>
  </si>
  <si>
    <t>B</t>
  </si>
  <si>
    <r>
      <t>Review/Update If needed</t>
    </r>
    <r>
      <rPr>
        <sz val="9"/>
        <rFont val="Arial"/>
        <family val="2"/>
      </rPr>
      <t>: In green cells review information and update if needed</t>
    </r>
  </si>
  <si>
    <t>Detention time in Wetwell</t>
  </si>
  <si>
    <t>mins</t>
  </si>
  <si>
    <t>Velocity of flow during peak flow</t>
  </si>
  <si>
    <t>m/s</t>
  </si>
  <si>
    <t>Velocity of flow during average flow</t>
  </si>
  <si>
    <t>Proposed pumps Working</t>
  </si>
  <si>
    <t>numbers</t>
  </si>
  <si>
    <t>Stand by pumps</t>
  </si>
  <si>
    <t>Material of pumping Main pipe</t>
  </si>
  <si>
    <t>Design of Sewage Pumping Station</t>
  </si>
  <si>
    <t>lpd</t>
  </si>
  <si>
    <t>Average Sewage flow</t>
  </si>
  <si>
    <t>Wetwell Design</t>
  </si>
  <si>
    <t>Volume of the Wetwell Required</t>
  </si>
  <si>
    <t>Cum</t>
  </si>
  <si>
    <t>Area of the Wetwell Required</t>
  </si>
  <si>
    <t>Sq.m</t>
  </si>
  <si>
    <t>Diameter of the wetwell</t>
  </si>
  <si>
    <t>Diameter of the wetwell, say</t>
  </si>
  <si>
    <t xml:space="preserve">Diameter of pumping main for average flow </t>
  </si>
  <si>
    <t xml:space="preserve">Diameter of pumping main for peak flow </t>
  </si>
  <si>
    <t>Average dia for peak &amp; average flow</t>
  </si>
  <si>
    <t>Dia of pumping main</t>
  </si>
  <si>
    <t>Area of pumping main pipe</t>
  </si>
  <si>
    <t>Sq. m</t>
  </si>
  <si>
    <t>Velocity in pipe for peak flow</t>
  </si>
  <si>
    <t xml:space="preserve">Discharge in each Pump </t>
  </si>
  <si>
    <t>cum/hr</t>
  </si>
  <si>
    <t xml:space="preserve">Discharge in each Pump, say </t>
  </si>
  <si>
    <t>Pumping Head</t>
  </si>
  <si>
    <t>Hydraulic Details</t>
  </si>
  <si>
    <t>Depth</t>
  </si>
  <si>
    <t>Head loss</t>
  </si>
  <si>
    <t>Total head required</t>
  </si>
  <si>
    <t>Diameter of the pipe proposed</t>
  </si>
  <si>
    <t>Output Table</t>
  </si>
  <si>
    <t xml:space="preserve">Diameter of the wetwell </t>
  </si>
  <si>
    <t>HP required of each pump</t>
  </si>
  <si>
    <t>No of Pumps</t>
  </si>
  <si>
    <t>Total KW</t>
  </si>
  <si>
    <t>Pipe Material</t>
  </si>
  <si>
    <t>KW required</t>
  </si>
  <si>
    <t>Table 2: Sewage Treatment Treatement Capacity</t>
  </si>
  <si>
    <t>STP capacity for Stage 2</t>
  </si>
  <si>
    <t>KW required of each pump</t>
  </si>
  <si>
    <t>Table 3: Sewage Pumping and Pumping Main</t>
  </si>
  <si>
    <t xml:space="preserve"> green cells should be reviewed and modified/updated as per need</t>
  </si>
  <si>
    <t xml:space="preserve">Enter data if condition satisfy </t>
  </si>
  <si>
    <r>
      <t xml:space="preserve">1 </t>
    </r>
    <r>
      <rPr>
        <b/>
        <sz val="10.5"/>
        <color theme="3"/>
        <rFont val="Arial Narrow"/>
        <family val="2"/>
      </rPr>
      <t>Input Data:</t>
    </r>
    <r>
      <rPr>
        <sz val="10.5"/>
        <color theme="3"/>
        <rFont val="Arial Narrow"/>
        <family val="2"/>
      </rPr>
      <t xml:space="preserve">The cells for data input and requiring users review are shaded with different </t>
    </r>
  </si>
  <si>
    <r>
      <t xml:space="preserve">2 </t>
    </r>
    <r>
      <rPr>
        <b/>
        <sz val="10.5"/>
        <rFont val="Arial Narrow"/>
        <family val="2"/>
      </rPr>
      <t>Output:</t>
    </r>
    <r>
      <rPr>
        <sz val="10.5"/>
        <rFont val="Arial Narrow"/>
        <family val="2"/>
      </rPr>
      <t>3 output tables are given which is final output and shall be part of report</t>
    </r>
  </si>
  <si>
    <t xml:space="preserve">4 Population Projection: Excle sheet gives population projection by different </t>
  </si>
  <si>
    <t>SPS1</t>
  </si>
  <si>
    <t>SPS2</t>
  </si>
  <si>
    <t>SPS3</t>
  </si>
  <si>
    <t>IV</t>
  </si>
  <si>
    <t>SPS Design</t>
  </si>
  <si>
    <r>
      <t xml:space="preserve">5 Sewage Pumping Station: </t>
    </r>
    <r>
      <rPr>
        <sz val="10.5"/>
        <rFont val="Arial Narrow"/>
        <family val="2"/>
      </rPr>
      <t>Three SPS required in this case. In case of more or less suitably it is to be corrected.</t>
    </r>
    <r>
      <rPr>
        <b/>
        <sz val="10.5"/>
        <rFont val="Arial Narrow"/>
        <family val="2"/>
      </rPr>
      <t xml:space="preserve"> </t>
    </r>
    <r>
      <rPr>
        <sz val="10.5"/>
        <rFont val="Arial Narrow"/>
        <family val="2"/>
      </rPr>
      <t>Yellow cells should be filled suitably and</t>
    </r>
  </si>
  <si>
    <t>Choose from drop down menu only</t>
  </si>
  <si>
    <t xml:space="preserve">SPS with civil, M &amp; E complete, per MLD </t>
  </si>
  <si>
    <t>Land Cost per Hectare</t>
  </si>
  <si>
    <t>Length of Sewer in meter per Hactare area of city</t>
  </si>
  <si>
    <t>No of STPs at present</t>
  </si>
  <si>
    <t>Land Required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</si>
</sst>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name val="Arial Narrow"/>
      <family val="2"/>
    </font>
    <font>
      <u/>
      <sz val="10.5"/>
      <name val="Arial Narrow"/>
      <family val="2"/>
    </font>
    <font>
      <u/>
      <sz val="10.5"/>
      <color rgb="FF00B0F0"/>
      <name val="Arial Narrow"/>
      <family val="2"/>
    </font>
    <font>
      <b/>
      <sz val="10.5"/>
      <name val="Arial Narrow"/>
      <family val="2"/>
    </font>
    <font>
      <sz val="10.5"/>
      <color theme="3"/>
      <name val="Arial Narrow"/>
      <family val="2"/>
    </font>
    <font>
      <sz val="10.5"/>
      <color rgb="FFFF0000"/>
      <name val="Arial Narrow"/>
      <family val="2"/>
    </font>
    <font>
      <sz val="10.5"/>
      <color theme="1"/>
      <name val="Arial Narrow"/>
      <family val="2"/>
    </font>
    <font>
      <b/>
      <sz val="10.5"/>
      <color theme="1"/>
      <name val="Arial Narrow"/>
      <family val="2"/>
    </font>
    <font>
      <sz val="10.5"/>
      <color rgb="FF0070C0"/>
      <name val="Arial Narrow"/>
      <family val="2"/>
    </font>
    <font>
      <b/>
      <sz val="10.5"/>
      <color rgb="FFFF0000"/>
      <name val="Arial Narrow"/>
      <family val="2"/>
    </font>
    <font>
      <sz val="10.5"/>
      <color rgb="FFFF0000"/>
      <name val="Arial"/>
      <family val="2"/>
    </font>
    <font>
      <sz val="10.5"/>
      <color indexed="12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name val="Arial Narrow"/>
      <family val="2"/>
    </font>
    <font>
      <b/>
      <sz val="10.5"/>
      <color theme="3"/>
      <name val="Arial Narrow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1" applyFont="1" applyBorder="1" applyProtection="1">
      <protection hidden="1"/>
    </xf>
    <xf numFmtId="0" fontId="3" fillId="0" borderId="0" xfId="1" applyFont="1" applyBorder="1" applyProtection="1">
      <protection hidden="1"/>
    </xf>
    <xf numFmtId="0" fontId="4" fillId="0" borderId="0" xfId="1" applyFont="1" applyBorder="1" applyProtection="1">
      <protection hidden="1"/>
    </xf>
    <xf numFmtId="0" fontId="2" fillId="0" borderId="0" xfId="1" applyFont="1" applyFill="1" applyBorder="1" applyProtection="1">
      <protection hidden="1"/>
    </xf>
    <xf numFmtId="0" fontId="2" fillId="0" borderId="1" xfId="1" applyFont="1" applyBorder="1" applyProtection="1">
      <protection hidden="1"/>
    </xf>
    <xf numFmtId="0" fontId="2" fillId="0" borderId="2" xfId="1" applyFont="1" applyBorder="1" applyProtection="1">
      <protection hidden="1"/>
    </xf>
    <xf numFmtId="0" fontId="2" fillId="0" borderId="1" xfId="1" applyFont="1" applyFill="1" applyBorder="1" applyProtection="1">
      <protection hidden="1"/>
    </xf>
    <xf numFmtId="0" fontId="2" fillId="0" borderId="2" xfId="1" applyFont="1" applyFill="1" applyBorder="1" applyProtection="1">
      <protection hidden="1"/>
    </xf>
    <xf numFmtId="0" fontId="2" fillId="0" borderId="0" xfId="1" applyFont="1" applyBorder="1" applyProtection="1">
      <protection locked="0" hidden="1"/>
    </xf>
    <xf numFmtId="43" fontId="2" fillId="4" borderId="0" xfId="2" applyFont="1" applyFill="1" applyBorder="1" applyAlignment="1" applyProtection="1">
      <alignment horizontal="center"/>
      <protection locked="0" hidden="1"/>
    </xf>
    <xf numFmtId="0" fontId="7" fillId="0" borderId="0" xfId="1" applyFont="1" applyFill="1" applyBorder="1" applyProtection="1">
      <protection hidden="1"/>
    </xf>
    <xf numFmtId="164" fontId="2" fillId="0" borderId="0" xfId="2" applyNumberFormat="1" applyFont="1" applyFill="1" applyBorder="1" applyProtection="1">
      <protection hidden="1"/>
    </xf>
    <xf numFmtId="164" fontId="7" fillId="0" borderId="0" xfId="2" applyNumberFormat="1" applyFont="1" applyFill="1" applyBorder="1" applyProtection="1">
      <protection hidden="1"/>
    </xf>
    <xf numFmtId="0" fontId="2" fillId="0" borderId="0" xfId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alignment horizontal="center"/>
      <protection hidden="1"/>
    </xf>
    <xf numFmtId="0" fontId="2" fillId="0" borderId="0" xfId="1" applyFont="1" applyFill="1" applyBorder="1" applyAlignment="1" applyProtection="1">
      <alignment vertical="top" wrapText="1"/>
      <protection hidden="1"/>
    </xf>
    <xf numFmtId="0" fontId="8" fillId="0" borderId="1" xfId="0" applyFont="1" applyBorder="1"/>
    <xf numFmtId="0" fontId="8" fillId="0" borderId="2" xfId="0" applyFont="1" applyBorder="1" applyAlignment="1">
      <alignment horizontal="left"/>
    </xf>
    <xf numFmtId="0" fontId="2" fillId="0" borderId="2" xfId="1" applyFont="1" applyBorder="1" applyAlignment="1" applyProtection="1">
      <alignment horizontal="center"/>
      <protection hidden="1"/>
    </xf>
    <xf numFmtId="10" fontId="2" fillId="5" borderId="10" xfId="1" applyNumberFormat="1" applyFont="1" applyFill="1" applyBorder="1" applyAlignment="1" applyProtection="1">
      <alignment horizontal="center"/>
      <protection locked="0" hidden="1"/>
    </xf>
    <xf numFmtId="0" fontId="9" fillId="0" borderId="0" xfId="1" applyFont="1" applyProtection="1">
      <protection hidden="1"/>
    </xf>
    <xf numFmtId="0" fontId="8" fillId="0" borderId="0" xfId="1" applyFont="1" applyProtection="1">
      <protection hidden="1"/>
    </xf>
    <xf numFmtId="0" fontId="7" fillId="0" borderId="0" xfId="1" applyFont="1" applyProtection="1">
      <protection hidden="1"/>
    </xf>
    <xf numFmtId="164" fontId="8" fillId="0" borderId="0" xfId="2" applyNumberFormat="1" applyFont="1" applyProtection="1">
      <protection hidden="1"/>
    </xf>
    <xf numFmtId="10" fontId="7" fillId="0" borderId="0" xfId="3" applyNumberFormat="1" applyFont="1" applyProtection="1">
      <protection hidden="1"/>
    </xf>
    <xf numFmtId="0" fontId="8" fillId="0" borderId="0" xfId="1" applyFont="1" applyFill="1" applyProtection="1">
      <protection hidden="1"/>
    </xf>
    <xf numFmtId="164" fontId="8" fillId="0" borderId="0" xfId="1" applyNumberFormat="1" applyFont="1" applyProtection="1">
      <protection hidden="1"/>
    </xf>
    <xf numFmtId="1" fontId="8" fillId="6" borderId="0" xfId="1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0" fontId="10" fillId="0" borderId="0" xfId="3" applyNumberFormat="1" applyFont="1" applyProtection="1">
      <protection hidden="1"/>
    </xf>
    <xf numFmtId="1" fontId="8" fillId="0" borderId="0" xfId="1" applyNumberFormat="1" applyFont="1" applyProtection="1">
      <protection hidden="1"/>
    </xf>
    <xf numFmtId="0" fontId="8" fillId="0" borderId="0" xfId="1" applyFont="1" applyAlignment="1" applyProtection="1">
      <alignment vertical="top"/>
      <protection hidden="1"/>
    </xf>
    <xf numFmtId="2" fontId="8" fillId="0" borderId="0" xfId="1" applyNumberFormat="1" applyFont="1" applyAlignment="1" applyProtection="1">
      <alignment vertical="top" wrapText="1"/>
      <protection hidden="1"/>
    </xf>
    <xf numFmtId="164" fontId="7" fillId="0" borderId="0" xfId="2" applyNumberFormat="1" applyFont="1" applyProtection="1">
      <protection hidden="1"/>
    </xf>
    <xf numFmtId="43" fontId="13" fillId="7" borderId="0" xfId="2" applyFont="1" applyFill="1" applyAlignment="1" applyProtection="1">
      <alignment horizontal="center"/>
      <protection hidden="1"/>
    </xf>
    <xf numFmtId="10" fontId="2" fillId="0" borderId="0" xfId="1" applyNumberFormat="1" applyFont="1" applyFill="1" applyBorder="1" applyAlignment="1" applyProtection="1">
      <alignment horizontal="center"/>
      <protection locked="0" hidden="1"/>
    </xf>
    <xf numFmtId="164" fontId="2" fillId="0" borderId="2" xfId="2" applyNumberFormat="1" applyFont="1" applyFill="1" applyBorder="1" applyAlignment="1" applyProtection="1">
      <alignment horizontal="center"/>
      <protection locked="0" hidden="1"/>
    </xf>
    <xf numFmtId="1" fontId="2" fillId="0" borderId="0" xfId="1" applyNumberFormat="1" applyFont="1" applyFill="1" applyBorder="1" applyProtection="1">
      <protection hidden="1"/>
    </xf>
    <xf numFmtId="164" fontId="2" fillId="4" borderId="0" xfId="2" applyNumberFormat="1" applyFont="1" applyFill="1" applyBorder="1" applyAlignment="1" applyProtection="1">
      <alignment horizontal="center"/>
      <protection locked="0" hidden="1"/>
    </xf>
    <xf numFmtId="1" fontId="2" fillId="0" borderId="0" xfId="1" applyNumberFormat="1" applyFont="1" applyFill="1" applyBorder="1" applyAlignment="1" applyProtection="1">
      <alignment horizontal="right"/>
      <protection locked="0" hidden="1"/>
    </xf>
    <xf numFmtId="1" fontId="2" fillId="6" borderId="0" xfId="1" applyNumberFormat="1" applyFont="1" applyFill="1" applyBorder="1" applyAlignment="1" applyProtection="1">
      <alignment horizontal="right"/>
      <protection locked="0" hidden="1"/>
    </xf>
    <xf numFmtId="0" fontId="5" fillId="0" borderId="0" xfId="1" applyFont="1" applyBorder="1" applyProtection="1">
      <protection hidden="1"/>
    </xf>
    <xf numFmtId="0" fontId="8" fillId="0" borderId="0" xfId="1" applyFont="1" applyAlignment="1" applyProtection="1">
      <alignment vertical="top" wrapText="1"/>
      <protection hidden="1"/>
    </xf>
    <xf numFmtId="164" fontId="7" fillId="0" borderId="0" xfId="5" applyNumberFormat="1" applyFont="1" applyProtection="1">
      <protection hidden="1"/>
    </xf>
    <xf numFmtId="10" fontId="7" fillId="0" borderId="0" xfId="5" applyNumberFormat="1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164" fontId="11" fillId="0" borderId="0" xfId="0" applyNumberFormat="1" applyFont="1" applyProtection="1">
      <protection hidden="1"/>
    </xf>
    <xf numFmtId="10" fontId="11" fillId="0" borderId="0" xfId="5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164" fontId="12" fillId="0" borderId="0" xfId="4" applyNumberFormat="1" applyFont="1" applyProtection="1">
      <protection hidden="1"/>
    </xf>
    <xf numFmtId="164" fontId="7" fillId="0" borderId="0" xfId="4" applyNumberFormat="1" applyFont="1" applyProtection="1">
      <protection hidden="1"/>
    </xf>
    <xf numFmtId="0" fontId="15" fillId="0" borderId="0" xfId="0" applyFont="1"/>
    <xf numFmtId="0" fontId="16" fillId="0" borderId="0" xfId="0" applyFont="1" applyAlignment="1"/>
    <xf numFmtId="0" fontId="17" fillId="0" borderId="0" xfId="0" applyFont="1"/>
    <xf numFmtId="0" fontId="17" fillId="0" borderId="18" xfId="0" applyFont="1" applyBorder="1"/>
    <xf numFmtId="0" fontId="17" fillId="0" borderId="10" xfId="0" applyFont="1" applyBorder="1"/>
    <xf numFmtId="0" fontId="17" fillId="0" borderId="19" xfId="0" applyFont="1" applyBorder="1"/>
    <xf numFmtId="0" fontId="15" fillId="0" borderId="10" xfId="0" applyFont="1" applyBorder="1"/>
    <xf numFmtId="0" fontId="15" fillId="0" borderId="21" xfId="0" applyFont="1" applyBorder="1"/>
    <xf numFmtId="0" fontId="16" fillId="0" borderId="0" xfId="0" applyFont="1" applyAlignment="1">
      <alignment horizontal="left"/>
    </xf>
    <xf numFmtId="0" fontId="15" fillId="8" borderId="15" xfId="0" applyFont="1" applyFill="1" applyBorder="1"/>
    <xf numFmtId="0" fontId="15" fillId="8" borderId="16" xfId="0" applyFont="1" applyFill="1" applyBorder="1"/>
    <xf numFmtId="0" fontId="15" fillId="0" borderId="18" xfId="0" applyFont="1" applyBorder="1" applyAlignment="1"/>
    <xf numFmtId="0" fontId="15" fillId="0" borderId="10" xfId="0" applyFont="1" applyBorder="1" applyAlignment="1"/>
    <xf numFmtId="43" fontId="15" fillId="0" borderId="19" xfId="4" applyFont="1" applyBorder="1"/>
    <xf numFmtId="164" fontId="15" fillId="0" borderId="19" xfId="4" applyNumberFormat="1" applyFont="1" applyBorder="1"/>
    <xf numFmtId="0" fontId="15" fillId="0" borderId="20" xfId="0" applyFont="1" applyBorder="1" applyAlignment="1"/>
    <xf numFmtId="0" fontId="15" fillId="0" borderId="21" xfId="0" applyFont="1" applyBorder="1" applyAlignment="1"/>
    <xf numFmtId="164" fontId="15" fillId="0" borderId="22" xfId="4" applyNumberFormat="1" applyFont="1" applyBorder="1"/>
    <xf numFmtId="0" fontId="15" fillId="0" borderId="18" xfId="0" applyFont="1" applyBorder="1"/>
    <xf numFmtId="0" fontId="15" fillId="0" borderId="20" xfId="0" applyFont="1" applyBorder="1"/>
    <xf numFmtId="0" fontId="15" fillId="8" borderId="17" xfId="0" applyFont="1" applyFill="1" applyBorder="1"/>
    <xf numFmtId="0" fontId="15" fillId="8" borderId="15" xfId="0" applyFont="1" applyFill="1" applyBorder="1" applyAlignment="1"/>
    <xf numFmtId="164" fontId="15" fillId="0" borderId="10" xfId="4" applyNumberFormat="1" applyFont="1" applyBorder="1"/>
    <xf numFmtId="164" fontId="15" fillId="0" borderId="21" xfId="4" applyNumberFormat="1" applyFont="1" applyBorder="1"/>
    <xf numFmtId="43" fontId="15" fillId="0" borderId="10" xfId="4" applyNumberFormat="1" applyFont="1" applyBorder="1"/>
    <xf numFmtId="43" fontId="15" fillId="0" borderId="19" xfId="4" applyNumberFormat="1" applyFont="1" applyBorder="1"/>
    <xf numFmtId="43" fontId="15" fillId="0" borderId="21" xfId="4" applyNumberFormat="1" applyFont="1" applyBorder="1"/>
    <xf numFmtId="43" fontId="15" fillId="0" borderId="22" xfId="4" applyNumberFormat="1" applyFont="1" applyBorder="1"/>
    <xf numFmtId="164" fontId="16" fillId="0" borderId="19" xfId="4" applyNumberFormat="1" applyFont="1" applyBorder="1"/>
    <xf numFmtId="9" fontId="15" fillId="0" borderId="10" xfId="0" applyNumberFormat="1" applyFont="1" applyBorder="1"/>
    <xf numFmtId="164" fontId="16" fillId="0" borderId="22" xfId="4" applyNumberFormat="1" applyFont="1" applyBorder="1"/>
    <xf numFmtId="0" fontId="16" fillId="0" borderId="0" xfId="0" applyFont="1"/>
    <xf numFmtId="0" fontId="15" fillId="9" borderId="15" xfId="0" applyFont="1" applyFill="1" applyBorder="1"/>
    <xf numFmtId="0" fontId="15" fillId="9" borderId="16" xfId="0" applyFont="1" applyFill="1" applyBorder="1"/>
    <xf numFmtId="0" fontId="15" fillId="9" borderId="17" xfId="0" applyFont="1" applyFill="1" applyBorder="1"/>
    <xf numFmtId="0" fontId="15" fillId="0" borderId="18" xfId="0" applyFont="1" applyFill="1" applyBorder="1"/>
    <xf numFmtId="0" fontId="15" fillId="0" borderId="10" xfId="0" applyFont="1" applyFill="1" applyBorder="1"/>
    <xf numFmtId="0" fontId="17" fillId="0" borderId="19" xfId="0" applyFont="1" applyFill="1" applyBorder="1"/>
    <xf numFmtId="43" fontId="15" fillId="0" borderId="19" xfId="0" applyNumberFormat="1" applyFont="1" applyBorder="1"/>
    <xf numFmtId="43" fontId="15" fillId="0" borderId="22" xfId="0" applyNumberFormat="1" applyFont="1" applyBorder="1"/>
    <xf numFmtId="10" fontId="2" fillId="6" borderId="0" xfId="5" applyNumberFormat="1" applyFont="1" applyFill="1" applyProtection="1">
      <protection hidden="1"/>
    </xf>
    <xf numFmtId="10" fontId="2" fillId="5" borderId="11" xfId="5" applyNumberFormat="1" applyFont="1" applyFill="1" applyBorder="1" applyAlignment="1" applyProtection="1">
      <alignment horizontal="center"/>
      <protection locked="0" hidden="1"/>
    </xf>
    <xf numFmtId="0" fontId="15" fillId="0" borderId="0" xfId="0" applyFont="1" applyAlignment="1">
      <alignment horizontal="right"/>
    </xf>
    <xf numFmtId="0" fontId="15" fillId="9" borderId="23" xfId="0" applyFont="1" applyFill="1" applyBorder="1"/>
    <xf numFmtId="0" fontId="15" fillId="9" borderId="24" xfId="0" applyFont="1" applyFill="1" applyBorder="1"/>
    <xf numFmtId="0" fontId="15" fillId="9" borderId="25" xfId="0" applyFont="1" applyFill="1" applyBorder="1"/>
    <xf numFmtId="0" fontId="18" fillId="0" borderId="0" xfId="1" applyFont="1" applyBorder="1" applyProtection="1"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2" fillId="7" borderId="1" xfId="0" applyFont="1" applyFill="1" applyBorder="1" applyAlignment="1" applyProtection="1">
      <alignment vertical="top" wrapText="1"/>
      <protection hidden="1"/>
    </xf>
    <xf numFmtId="0" fontId="2" fillId="11" borderId="1" xfId="0" applyFont="1" applyFill="1" applyBorder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vertical="top"/>
      <protection hidden="1"/>
    </xf>
    <xf numFmtId="164" fontId="2" fillId="10" borderId="10" xfId="2" applyNumberFormat="1" applyFont="1" applyFill="1" applyBorder="1" applyProtection="1">
      <protection locked="0" hidden="1"/>
    </xf>
    <xf numFmtId="164" fontId="2" fillId="6" borderId="10" xfId="2" applyNumberFormat="1" applyFont="1" applyFill="1" applyBorder="1" applyAlignment="1" applyProtection="1">
      <protection locked="0" hidden="1"/>
    </xf>
    <xf numFmtId="164" fontId="2" fillId="6" borderId="10" xfId="2" applyNumberFormat="1" applyFont="1" applyFill="1" applyBorder="1" applyAlignment="1" applyProtection="1">
      <alignment horizontal="center"/>
      <protection locked="0" hidden="1"/>
    </xf>
    <xf numFmtId="164" fontId="2" fillId="6" borderId="11" xfId="2" applyNumberFormat="1" applyFont="1" applyFill="1" applyBorder="1" applyAlignment="1" applyProtection="1">
      <alignment horizontal="center"/>
      <protection locked="0" hidden="1"/>
    </xf>
    <xf numFmtId="164" fontId="2" fillId="10" borderId="33" xfId="2" applyNumberFormat="1" applyFont="1" applyFill="1" applyBorder="1" applyProtection="1">
      <protection locked="0" hidden="1"/>
    </xf>
    <xf numFmtId="0" fontId="2" fillId="12" borderId="0" xfId="0" applyFont="1" applyFill="1" applyBorder="1" applyAlignment="1" applyProtection="1">
      <alignment vertical="top" wrapText="1"/>
      <protection hidden="1"/>
    </xf>
    <xf numFmtId="0" fontId="2" fillId="13" borderId="0" xfId="0" applyFont="1" applyFill="1" applyBorder="1" applyAlignment="1" applyProtection="1">
      <alignment vertical="top" wrapText="1"/>
      <protection hidden="1"/>
    </xf>
    <xf numFmtId="10" fontId="8" fillId="0" borderId="0" xfId="1" applyNumberFormat="1" applyFont="1" applyProtection="1">
      <protection hidden="1"/>
    </xf>
    <xf numFmtId="0" fontId="2" fillId="2" borderId="0" xfId="1" applyFont="1" applyFill="1" applyBorder="1" applyProtection="1">
      <protection hidden="1"/>
    </xf>
    <xf numFmtId="0" fontId="20" fillId="14" borderId="3" xfId="0" applyFont="1" applyFill="1" applyBorder="1" applyAlignment="1">
      <alignment horizontal="center" vertical="top" wrapText="1"/>
    </xf>
    <xf numFmtId="2" fontId="20" fillId="14" borderId="3" xfId="0" applyNumberFormat="1" applyFont="1" applyFill="1" applyBorder="1" applyAlignment="1">
      <alignment horizontal="center" vertical="top" wrapText="1"/>
    </xf>
    <xf numFmtId="0" fontId="21" fillId="0" borderId="3" xfId="0" applyFont="1" applyBorder="1" applyAlignment="1">
      <alignment horizontal="right" vertical="top" wrapText="1"/>
    </xf>
    <xf numFmtId="0" fontId="21" fillId="0" borderId="3" xfId="0" applyFont="1" applyBorder="1" applyAlignment="1">
      <alignment vertical="top" wrapText="1"/>
    </xf>
    <xf numFmtId="0" fontId="21" fillId="0" borderId="3" xfId="0" quotePrefix="1" applyFont="1" applyBorder="1" applyAlignment="1">
      <alignment horizontal="left" vertical="top" wrapText="1"/>
    </xf>
    <xf numFmtId="0" fontId="21" fillId="0" borderId="3" xfId="0" applyFont="1" applyBorder="1" applyAlignment="1">
      <alignment horizontal="center" vertical="top" wrapText="1"/>
    </xf>
    <xf numFmtId="2" fontId="21" fillId="2" borderId="3" xfId="0" applyNumberFormat="1" applyFont="1" applyFill="1" applyBorder="1" applyAlignment="1">
      <alignment vertical="top" wrapText="1"/>
    </xf>
    <xf numFmtId="2" fontId="21" fillId="10" borderId="3" xfId="0" applyNumberFormat="1" applyFont="1" applyFill="1" applyBorder="1" applyAlignment="1">
      <alignment vertical="top" wrapText="1"/>
    </xf>
    <xf numFmtId="1" fontId="21" fillId="10" borderId="3" xfId="0" applyNumberFormat="1" applyFont="1" applyFill="1" applyBorder="1" applyAlignment="1">
      <alignment horizontal="right" vertical="top" wrapText="1"/>
    </xf>
    <xf numFmtId="10" fontId="21" fillId="10" borderId="3" xfId="0" applyNumberFormat="1" applyFont="1" applyFill="1" applyBorder="1" applyAlignment="1">
      <alignment horizontal="right" vertical="top" wrapText="1"/>
    </xf>
    <xf numFmtId="0" fontId="23" fillId="0" borderId="3" xfId="0" applyFont="1" applyBorder="1" applyAlignment="1">
      <alignment horizontal="center" vertical="top" wrapText="1"/>
    </xf>
    <xf numFmtId="2" fontId="21" fillId="10" borderId="3" xfId="0" applyNumberFormat="1" applyFont="1" applyFill="1" applyBorder="1" applyAlignment="1">
      <alignment horizontal="right" vertical="top" wrapText="1"/>
    </xf>
    <xf numFmtId="0" fontId="24" fillId="0" borderId="3" xfId="0" applyFont="1" applyBorder="1" applyAlignment="1">
      <alignment vertical="top" wrapText="1"/>
    </xf>
    <xf numFmtId="2" fontId="23" fillId="3" borderId="3" xfId="0" applyNumberFormat="1" applyFont="1" applyFill="1" applyBorder="1" applyAlignment="1">
      <alignment horizontal="right" vertical="top" wrapText="1"/>
    </xf>
    <xf numFmtId="1" fontId="21" fillId="0" borderId="0" xfId="0" applyNumberFormat="1" applyFont="1" applyAlignment="1">
      <alignment vertical="top" wrapText="1"/>
    </xf>
    <xf numFmtId="1" fontId="21" fillId="0" borderId="3" xfId="0" applyNumberFormat="1" applyFont="1" applyBorder="1" applyAlignment="1">
      <alignment vertical="top" wrapText="1"/>
    </xf>
    <xf numFmtId="2" fontId="21" fillId="0" borderId="3" xfId="0" applyNumberFormat="1" applyFont="1" applyBorder="1" applyAlignment="1">
      <alignment vertical="top" wrapText="1"/>
    </xf>
    <xf numFmtId="0" fontId="22" fillId="0" borderId="3" xfId="0" applyFont="1" applyBorder="1" applyAlignment="1">
      <alignment vertical="top" wrapText="1"/>
    </xf>
    <xf numFmtId="0" fontId="15" fillId="0" borderId="3" xfId="0" applyFont="1" applyBorder="1"/>
    <xf numFmtId="0" fontId="2" fillId="0" borderId="0" xfId="1" applyFont="1" applyBorder="1" applyAlignment="1" applyProtection="1">
      <alignment horizontal="center"/>
      <protection hidden="1"/>
    </xf>
    <xf numFmtId="0" fontId="2" fillId="0" borderId="0" xfId="1" applyFont="1" applyBorder="1" applyAlignment="1" applyProtection="1">
      <protection hidden="1"/>
    </xf>
    <xf numFmtId="0" fontId="15" fillId="0" borderId="35" xfId="0" applyFont="1" applyBorder="1" applyAlignment="1"/>
    <xf numFmtId="0" fontId="15" fillId="0" borderId="36" xfId="0" applyFont="1" applyBorder="1" applyAlignment="1"/>
    <xf numFmtId="0" fontId="15" fillId="0" borderId="36" xfId="0" applyFont="1" applyBorder="1"/>
    <xf numFmtId="43" fontId="15" fillId="0" borderId="37" xfId="4" applyFont="1" applyBorder="1"/>
    <xf numFmtId="0" fontId="15" fillId="0" borderId="0" xfId="0" applyFont="1" applyBorder="1" applyAlignment="1"/>
    <xf numFmtId="0" fontId="15" fillId="0" borderId="0" xfId="0" applyFont="1" applyBorder="1"/>
    <xf numFmtId="0" fontId="15" fillId="0" borderId="34" xfId="0" applyFont="1" applyBorder="1" applyAlignment="1"/>
    <xf numFmtId="0" fontId="15" fillId="0" borderId="34" xfId="0" applyFont="1" applyBorder="1"/>
    <xf numFmtId="0" fontId="15" fillId="0" borderId="32" xfId="0" applyFont="1" applyBorder="1"/>
    <xf numFmtId="164" fontId="15" fillId="0" borderId="39" xfId="4" applyNumberFormat="1" applyFont="1" applyBorder="1"/>
    <xf numFmtId="0" fontId="15" fillId="0" borderId="40" xfId="0" applyFont="1" applyBorder="1"/>
    <xf numFmtId="164" fontId="15" fillId="0" borderId="38" xfId="0" applyNumberFormat="1" applyFont="1" applyBorder="1"/>
    <xf numFmtId="2" fontId="15" fillId="0" borderId="26" xfId="0" applyNumberFormat="1" applyFont="1" applyFill="1" applyBorder="1"/>
    <xf numFmtId="0" fontId="15" fillId="9" borderId="13" xfId="0" applyFont="1" applyFill="1" applyBorder="1"/>
    <xf numFmtId="0" fontId="21" fillId="0" borderId="0" xfId="0" applyFont="1" applyBorder="1" applyAlignment="1">
      <alignment vertical="top" wrapText="1"/>
    </xf>
    <xf numFmtId="0" fontId="15" fillId="0" borderId="41" xfId="0" applyFont="1" applyBorder="1"/>
    <xf numFmtId="2" fontId="15" fillId="0" borderId="27" xfId="0" applyNumberFormat="1" applyFont="1" applyFill="1" applyBorder="1" applyAlignment="1">
      <alignment horizontal="right" vertical="center"/>
    </xf>
    <xf numFmtId="2" fontId="15" fillId="0" borderId="19" xfId="0" applyNumberFormat="1" applyFont="1" applyFill="1" applyBorder="1"/>
    <xf numFmtId="2" fontId="15" fillId="0" borderId="22" xfId="0" applyNumberFormat="1" applyFont="1" applyFill="1" applyBorder="1" applyAlignment="1">
      <alignment horizontal="right" vertical="center"/>
    </xf>
    <xf numFmtId="0" fontId="15" fillId="3" borderId="0" xfId="0" applyFont="1" applyFill="1" applyBorder="1"/>
    <xf numFmtId="0" fontId="17" fillId="0" borderId="0" xfId="0" applyFont="1" applyFill="1" applyBorder="1"/>
    <xf numFmtId="43" fontId="15" fillId="0" borderId="0" xfId="0" applyNumberFormat="1" applyFont="1" applyBorder="1"/>
    <xf numFmtId="0" fontId="15" fillId="0" borderId="3" xfId="0" applyFont="1" applyBorder="1" applyAlignment="1">
      <alignment horizontal="right"/>
    </xf>
    <xf numFmtId="0" fontId="2" fillId="0" borderId="0" xfId="1" applyFont="1" applyFill="1" applyBorder="1" applyAlignment="1" applyProtection="1">
      <protection hidden="1"/>
    </xf>
    <xf numFmtId="164" fontId="8" fillId="2" borderId="0" xfId="4" applyNumberFormat="1" applyFont="1" applyFill="1" applyBorder="1"/>
    <xf numFmtId="164" fontId="2" fillId="2" borderId="0" xfId="4" applyNumberFormat="1" applyFont="1" applyFill="1" applyBorder="1" applyProtection="1">
      <protection hidden="1"/>
    </xf>
    <xf numFmtId="0" fontId="8" fillId="0" borderId="0" xfId="0" applyFont="1" applyBorder="1"/>
    <xf numFmtId="164" fontId="2" fillId="2" borderId="2" xfId="4" applyNumberFormat="1" applyFont="1" applyFill="1" applyBorder="1" applyProtection="1">
      <protection hidden="1"/>
    </xf>
    <xf numFmtId="164" fontId="2" fillId="2" borderId="2" xfId="4" applyNumberFormat="1" applyFont="1" applyFill="1" applyBorder="1" applyProtection="1">
      <protection locked="0" hidden="1"/>
    </xf>
    <xf numFmtId="0" fontId="6" fillId="0" borderId="1" xfId="1" applyFont="1" applyFill="1" applyBorder="1" applyAlignment="1" applyProtection="1">
      <alignment vertical="top" wrapText="1"/>
      <protection hidden="1"/>
    </xf>
    <xf numFmtId="0" fontId="6" fillId="0" borderId="0" xfId="1" applyFont="1" applyFill="1" applyBorder="1" applyAlignment="1" applyProtection="1">
      <alignment vertical="top" wrapText="1"/>
      <protection hidden="1"/>
    </xf>
    <xf numFmtId="0" fontId="6" fillId="0" borderId="2" xfId="1" applyFont="1" applyFill="1" applyBorder="1" applyAlignment="1" applyProtection="1">
      <alignment vertical="top" wrapText="1"/>
      <protection hidden="1"/>
    </xf>
    <xf numFmtId="164" fontId="2" fillId="3" borderId="33" xfId="2" applyNumberFormat="1" applyFont="1" applyFill="1" applyBorder="1" applyProtection="1">
      <protection locked="0" hidden="1"/>
    </xf>
    <xf numFmtId="0" fontId="5" fillId="0" borderId="0" xfId="1" applyFont="1" applyBorder="1" applyAlignment="1" applyProtection="1">
      <protection hidden="1"/>
    </xf>
    <xf numFmtId="164" fontId="2" fillId="2" borderId="0" xfId="4" applyNumberFormat="1" applyFont="1" applyFill="1" applyBorder="1" applyProtection="1">
      <protection locked="0" hidden="1"/>
    </xf>
    <xf numFmtId="0" fontId="2" fillId="0" borderId="0" xfId="1" applyFont="1" applyFill="1" applyBorder="1" applyAlignment="1" applyProtection="1">
      <alignment horizontal="right"/>
      <protection hidden="1"/>
    </xf>
    <xf numFmtId="0" fontId="2" fillId="0" borderId="12" xfId="1" applyFont="1" applyBorder="1" applyProtection="1">
      <protection hidden="1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8" fillId="3" borderId="0" xfId="0" applyFont="1" applyFill="1" applyBorder="1"/>
    <xf numFmtId="164" fontId="8" fillId="3" borderId="0" xfId="4" applyNumberFormat="1" applyFont="1" applyFill="1" applyBorder="1"/>
    <xf numFmtId="164" fontId="2" fillId="10" borderId="0" xfId="4" applyNumberFormat="1" applyFont="1" applyFill="1" applyBorder="1" applyProtection="1">
      <protection hidden="1"/>
    </xf>
    <xf numFmtId="10" fontId="2" fillId="10" borderId="0" xfId="4" applyNumberFormat="1" applyFont="1" applyFill="1" applyBorder="1" applyProtection="1">
      <protection hidden="1"/>
    </xf>
    <xf numFmtId="0" fontId="2" fillId="2" borderId="0" xfId="1" applyFont="1" applyFill="1" applyBorder="1" applyAlignment="1" applyProtection="1">
      <protection hidden="1"/>
    </xf>
    <xf numFmtId="43" fontId="2" fillId="2" borderId="0" xfId="4" applyNumberFormat="1" applyFont="1" applyFill="1" applyBorder="1" applyProtection="1">
      <protection hidden="1"/>
    </xf>
    <xf numFmtId="0" fontId="8" fillId="0" borderId="2" xfId="0" applyFont="1" applyFill="1" applyBorder="1" applyAlignment="1">
      <alignment vertical="center"/>
    </xf>
    <xf numFmtId="0" fontId="8" fillId="0" borderId="2" xfId="0" applyFont="1" applyBorder="1"/>
    <xf numFmtId="0" fontId="8" fillId="3" borderId="2" xfId="0" applyFont="1" applyFill="1" applyBorder="1"/>
    <xf numFmtId="0" fontId="8" fillId="0" borderId="2" xfId="0" applyFont="1" applyBorder="1" applyAlignment="1">
      <alignment wrapText="1"/>
    </xf>
    <xf numFmtId="0" fontId="2" fillId="2" borderId="31" xfId="1" applyFont="1" applyFill="1" applyBorder="1" applyProtection="1">
      <protection hidden="1"/>
    </xf>
    <xf numFmtId="0" fontId="2" fillId="0" borderId="14" xfId="1" applyFont="1" applyBorder="1" applyProtection="1">
      <protection hidden="1"/>
    </xf>
    <xf numFmtId="0" fontId="21" fillId="0" borderId="0" xfId="0" quotePrefix="1" applyFont="1" applyBorder="1" applyAlignment="1">
      <alignment horizontal="left" vertical="top" wrapText="1"/>
    </xf>
    <xf numFmtId="0" fontId="21" fillId="0" borderId="0" xfId="0" applyFont="1" applyBorder="1" applyAlignment="1">
      <alignment horizontal="center" vertical="top" wrapText="1"/>
    </xf>
    <xf numFmtId="2" fontId="21" fillId="2" borderId="0" xfId="0" applyNumberFormat="1" applyFont="1" applyFill="1" applyBorder="1" applyAlignment="1">
      <alignment vertical="top" wrapText="1"/>
    </xf>
    <xf numFmtId="2" fontId="21" fillId="10" borderId="0" xfId="0" applyNumberFormat="1" applyFont="1" applyFill="1" applyBorder="1" applyAlignment="1">
      <alignment vertical="top" wrapText="1"/>
    </xf>
    <xf numFmtId="1" fontId="21" fillId="10" borderId="0" xfId="0" applyNumberFormat="1" applyFont="1" applyFill="1" applyBorder="1" applyAlignment="1">
      <alignment horizontal="right" vertical="top" wrapText="1"/>
    </xf>
    <xf numFmtId="10" fontId="21" fillId="10" borderId="0" xfId="0" applyNumberFormat="1" applyFont="1" applyFill="1" applyBorder="1" applyAlignment="1">
      <alignment horizontal="right" vertical="top" wrapText="1"/>
    </xf>
    <xf numFmtId="2" fontId="21" fillId="2" borderId="2" xfId="0" applyNumberFormat="1" applyFont="1" applyFill="1" applyBorder="1" applyAlignment="1">
      <alignment vertical="top" wrapText="1"/>
    </xf>
    <xf numFmtId="2" fontId="21" fillId="10" borderId="2" xfId="0" applyNumberFormat="1" applyFont="1" applyFill="1" applyBorder="1" applyAlignment="1">
      <alignment vertical="top" wrapText="1"/>
    </xf>
    <xf numFmtId="1" fontId="21" fillId="10" borderId="2" xfId="0" applyNumberFormat="1" applyFont="1" applyFill="1" applyBorder="1" applyAlignment="1">
      <alignment horizontal="right" vertical="top" wrapText="1"/>
    </xf>
    <xf numFmtId="10" fontId="21" fillId="10" borderId="2" xfId="0" applyNumberFormat="1" applyFont="1" applyFill="1" applyBorder="1" applyAlignment="1">
      <alignment horizontal="right" vertical="top" wrapText="1"/>
    </xf>
    <xf numFmtId="0" fontId="21" fillId="0" borderId="31" xfId="0" applyFont="1" applyBorder="1" applyAlignment="1">
      <alignment vertical="top" wrapText="1"/>
    </xf>
    <xf numFmtId="0" fontId="23" fillId="0" borderId="31" xfId="0" applyFont="1" applyBorder="1" applyAlignment="1">
      <alignment horizontal="center" vertical="top" wrapText="1"/>
    </xf>
    <xf numFmtId="2" fontId="21" fillId="10" borderId="31" xfId="0" applyNumberFormat="1" applyFont="1" applyFill="1" applyBorder="1" applyAlignment="1">
      <alignment horizontal="right" vertical="top" wrapText="1"/>
    </xf>
    <xf numFmtId="2" fontId="21" fillId="10" borderId="14" xfId="0" applyNumberFormat="1" applyFont="1" applyFill="1" applyBorder="1" applyAlignment="1">
      <alignment horizontal="right" vertical="top" wrapText="1"/>
    </xf>
    <xf numFmtId="0" fontId="8" fillId="0" borderId="42" xfId="0" applyFont="1" applyBorder="1"/>
    <xf numFmtId="164" fontId="7" fillId="0" borderId="0" xfId="2" applyNumberFormat="1" applyFont="1" applyFill="1" applyBorder="1" applyAlignment="1" applyProtection="1">
      <alignment horizontal="left" wrapText="1"/>
      <protection hidden="1"/>
    </xf>
    <xf numFmtId="164" fontId="7" fillId="0" borderId="2" xfId="2" applyNumberFormat="1" applyFont="1" applyFill="1" applyBorder="1" applyAlignment="1" applyProtection="1">
      <alignment horizontal="left" wrapText="1"/>
      <protection hidden="1"/>
    </xf>
    <xf numFmtId="0" fontId="2" fillId="0" borderId="0" xfId="1" applyFont="1" applyFill="1" applyBorder="1" applyAlignment="1" applyProtection="1">
      <alignment horizontal="center" wrapText="1"/>
      <protection hidden="1"/>
    </xf>
    <xf numFmtId="0" fontId="2" fillId="0" borderId="0" xfId="1" applyFont="1" applyBorder="1" applyAlignment="1" applyProtection="1">
      <alignment horizontal="left"/>
      <protection hidden="1"/>
    </xf>
    <xf numFmtId="0" fontId="2" fillId="0" borderId="0" xfId="1" applyFont="1" applyBorder="1" applyAlignment="1" applyProtection="1">
      <alignment horizontal="center"/>
      <protection hidden="1"/>
    </xf>
    <xf numFmtId="0" fontId="2" fillId="0" borderId="31" xfId="1" applyFont="1" applyBorder="1" applyAlignment="1" applyProtection="1">
      <alignment horizontal="left"/>
      <protection hidden="1"/>
    </xf>
    <xf numFmtId="0" fontId="2" fillId="0" borderId="0" xfId="1" applyFont="1" applyFill="1" applyBorder="1" applyAlignment="1" applyProtection="1">
      <alignment horizontal="left"/>
      <protection hidden="1"/>
    </xf>
    <xf numFmtId="0" fontId="8" fillId="3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0" borderId="28" xfId="1" applyFont="1" applyFill="1" applyBorder="1" applyAlignment="1" applyProtection="1">
      <alignment horizontal="center"/>
      <protection hidden="1"/>
    </xf>
    <xf numFmtId="0" fontId="5" fillId="0" borderId="29" xfId="1" applyFont="1" applyFill="1" applyBorder="1" applyAlignment="1" applyProtection="1">
      <alignment horizontal="center"/>
      <protection hidden="1"/>
    </xf>
    <xf numFmtId="0" fontId="5" fillId="0" borderId="30" xfId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left" vertical="top" wrapText="1"/>
      <protection hidden="1"/>
    </xf>
    <xf numFmtId="0" fontId="6" fillId="0" borderId="0" xfId="1" applyFont="1" applyFill="1" applyBorder="1" applyAlignment="1" applyProtection="1">
      <alignment horizontal="left" vertical="top" wrapText="1"/>
      <protection hidden="1"/>
    </xf>
    <xf numFmtId="0" fontId="6" fillId="0" borderId="2" xfId="1" applyFont="1" applyFill="1" applyBorder="1" applyAlignment="1" applyProtection="1">
      <alignment horizontal="left" vertical="top" wrapText="1"/>
      <protection hidden="1"/>
    </xf>
    <xf numFmtId="0" fontId="6" fillId="0" borderId="1" xfId="1" applyFont="1" applyFill="1" applyBorder="1" applyAlignment="1" applyProtection="1">
      <alignment horizontal="center" vertical="top" wrapText="1"/>
      <protection hidden="1"/>
    </xf>
    <xf numFmtId="0" fontId="6" fillId="0" borderId="0" xfId="1" applyFont="1" applyFill="1" applyBorder="1" applyAlignment="1" applyProtection="1">
      <alignment horizontal="center" vertical="top" wrapText="1"/>
      <protection hidden="1"/>
    </xf>
    <xf numFmtId="0" fontId="6" fillId="0" borderId="2" xfId="1" applyFont="1" applyFill="1" applyBorder="1" applyAlignment="1" applyProtection="1">
      <alignment horizontal="center" vertical="top" wrapText="1"/>
      <protection hidden="1"/>
    </xf>
    <xf numFmtId="0" fontId="5" fillId="0" borderId="7" xfId="1" applyFont="1" applyBorder="1" applyAlignment="1" applyProtection="1">
      <alignment horizontal="center"/>
      <protection hidden="1"/>
    </xf>
    <xf numFmtId="0" fontId="5" fillId="0" borderId="8" xfId="1" applyFont="1" applyBorder="1" applyAlignment="1" applyProtection="1">
      <alignment horizontal="center"/>
      <protection hidden="1"/>
    </xf>
    <xf numFmtId="0" fontId="5" fillId="0" borderId="9" xfId="1" applyFont="1" applyBorder="1" applyAlignment="1" applyProtection="1">
      <alignment horizontal="center"/>
      <protection hidden="1"/>
    </xf>
    <xf numFmtId="0" fontId="2" fillId="0" borderId="0" xfId="1" applyFont="1" applyFill="1" applyBorder="1" applyAlignment="1" applyProtection="1">
      <alignment horizontal="left" wrapText="1"/>
      <protection hidden="1"/>
    </xf>
    <xf numFmtId="0" fontId="2" fillId="0" borderId="1" xfId="1" applyFont="1" applyBorder="1" applyAlignment="1" applyProtection="1">
      <alignment horizontal="left"/>
      <protection hidden="1"/>
    </xf>
    <xf numFmtId="0" fontId="2" fillId="0" borderId="2" xfId="1" applyFont="1" applyBorder="1" applyAlignment="1" applyProtection="1">
      <alignment horizontal="left"/>
      <protection hidden="1"/>
    </xf>
    <xf numFmtId="0" fontId="2" fillId="0" borderId="1" xfId="1" applyFont="1" applyFill="1" applyBorder="1" applyAlignment="1" applyProtection="1">
      <alignment horizontal="left" vertical="top" wrapText="1"/>
      <protection hidden="1"/>
    </xf>
    <xf numFmtId="0" fontId="2" fillId="0" borderId="0" xfId="1" applyFont="1" applyFill="1" applyBorder="1" applyAlignment="1" applyProtection="1">
      <alignment horizontal="left" vertical="top" wrapText="1"/>
      <protection hidden="1"/>
    </xf>
    <xf numFmtId="0" fontId="2" fillId="0" borderId="2" xfId="1" applyFont="1" applyFill="1" applyBorder="1" applyAlignment="1" applyProtection="1">
      <alignment horizontal="left" vertical="top" wrapText="1"/>
      <protection hidden="1"/>
    </xf>
    <xf numFmtId="0" fontId="2" fillId="0" borderId="12" xfId="1" applyFont="1" applyFill="1" applyBorder="1" applyAlignment="1" applyProtection="1">
      <alignment horizontal="left" vertical="top" wrapText="1"/>
      <protection hidden="1"/>
    </xf>
    <xf numFmtId="0" fontId="2" fillId="0" borderId="31" xfId="1" applyFont="1" applyFill="1" applyBorder="1" applyAlignment="1" applyProtection="1">
      <alignment horizontal="left" vertical="top" wrapText="1"/>
      <protection hidden="1"/>
    </xf>
    <xf numFmtId="0" fontId="2" fillId="0" borderId="14" xfId="1" applyFont="1" applyFill="1" applyBorder="1" applyAlignment="1" applyProtection="1">
      <alignment horizontal="left" vertical="top" wrapText="1"/>
      <protection hidden="1"/>
    </xf>
    <xf numFmtId="0" fontId="5" fillId="0" borderId="1" xfId="1" applyFont="1" applyBorder="1" applyAlignment="1" applyProtection="1">
      <alignment horizontal="left"/>
      <protection hidden="1"/>
    </xf>
    <xf numFmtId="0" fontId="22" fillId="3" borderId="4" xfId="0" applyFont="1" applyFill="1" applyBorder="1" applyAlignment="1">
      <alignment horizontal="left" vertical="top" wrapText="1"/>
    </xf>
    <xf numFmtId="0" fontId="22" fillId="3" borderId="6" xfId="0" applyFont="1" applyFill="1" applyBorder="1" applyAlignment="1">
      <alignment horizontal="left" vertical="top" wrapText="1"/>
    </xf>
    <xf numFmtId="0" fontId="22" fillId="3" borderId="5" xfId="0" applyFont="1" applyFill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</cellXfs>
  <cellStyles count="6">
    <cellStyle name="Comma" xfId="4" builtinId="3"/>
    <cellStyle name="Comma 2" xfId="2"/>
    <cellStyle name="Normal" xfId="0" builtinId="0"/>
    <cellStyle name="Normal 2" xfId="1"/>
    <cellStyle name="Percent" xfId="5" builtinId="5"/>
    <cellStyle name="Percent 2" xfId="3"/>
  </cellStyles>
  <dxfs count="21">
    <dxf>
      <font>
        <color theme="3"/>
      </font>
      <fill>
        <patternFill>
          <bgColor rgb="FF92D050"/>
        </patternFill>
      </fill>
    </dxf>
    <dxf>
      <font>
        <color rgb="FF0070C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lor rgb="FF0070C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U60"/>
  <sheetViews>
    <sheetView topLeftCell="A7" workbookViewId="0">
      <selection activeCell="Q33" sqref="Q33"/>
    </sheetView>
  </sheetViews>
  <sheetFormatPr defaultRowHeight="13.5"/>
  <cols>
    <col min="1" max="1" width="1.85546875" style="1" customWidth="1"/>
    <col min="2" max="2" width="2.42578125" style="1" customWidth="1"/>
    <col min="3" max="3" width="6.140625" style="1" customWidth="1"/>
    <col min="4" max="4" width="8.140625" style="1" customWidth="1"/>
    <col min="5" max="5" width="9.42578125" style="1" customWidth="1"/>
    <col min="6" max="6" width="8.28515625" style="1" customWidth="1"/>
    <col min="7" max="7" width="6.7109375" style="1" customWidth="1"/>
    <col min="8" max="8" width="2" style="1" customWidth="1"/>
    <col min="9" max="9" width="2.28515625" style="1" customWidth="1"/>
    <col min="10" max="10" width="28.28515625" style="1" customWidth="1"/>
    <col min="11" max="11" width="23.140625" style="1" customWidth="1"/>
    <col min="12" max="12" width="8.7109375" style="1" customWidth="1"/>
    <col min="13" max="13" width="8.42578125" style="1" customWidth="1"/>
    <col min="14" max="14" width="8.85546875" style="1" customWidth="1"/>
    <col min="15" max="15" width="1" style="1" customWidth="1"/>
    <col min="16" max="17" width="9.140625" style="1"/>
    <col min="18" max="18" width="12.140625" style="1" customWidth="1"/>
    <col min="19" max="20" width="9.140625" style="1"/>
    <col min="21" max="21" width="10.7109375" style="1" customWidth="1"/>
    <col min="22" max="16384" width="9.140625" style="1"/>
  </cols>
  <sheetData>
    <row r="1" spans="2:21" ht="15.75">
      <c r="B1" s="99" t="s">
        <v>76</v>
      </c>
      <c r="F1" s="2"/>
      <c r="G1" s="3"/>
      <c r="L1" s="1" t="s">
        <v>65</v>
      </c>
      <c r="M1" s="105" t="s">
        <v>77</v>
      </c>
    </row>
    <row r="2" spans="2:21" ht="2.25" customHeight="1" thickBot="1">
      <c r="B2" s="5"/>
      <c r="G2" s="6"/>
    </row>
    <row r="3" spans="2:21">
      <c r="B3" s="221" t="s">
        <v>79</v>
      </c>
      <c r="C3" s="222"/>
      <c r="D3" s="222"/>
      <c r="E3" s="222"/>
      <c r="F3" s="222"/>
      <c r="G3" s="223"/>
      <c r="I3" s="221" t="s">
        <v>3</v>
      </c>
      <c r="J3" s="222"/>
      <c r="K3" s="222"/>
      <c r="L3" s="222"/>
      <c r="M3" s="222"/>
      <c r="N3" s="223"/>
      <c r="P3" s="212" t="s">
        <v>72</v>
      </c>
      <c r="Q3" s="213"/>
      <c r="R3" s="213"/>
      <c r="S3" s="213"/>
      <c r="T3" s="213"/>
      <c r="U3" s="214"/>
    </row>
    <row r="4" spans="2:21" ht="1.5" customHeight="1">
      <c r="B4" s="5"/>
      <c r="G4" s="6"/>
      <c r="I4" s="5"/>
      <c r="N4" s="6"/>
      <c r="P4" s="7"/>
      <c r="Q4" s="4"/>
      <c r="R4" s="4"/>
      <c r="U4" s="6"/>
    </row>
    <row r="5" spans="2:21">
      <c r="B5" s="5" t="s">
        <v>0</v>
      </c>
      <c r="C5" s="1" t="s">
        <v>1</v>
      </c>
      <c r="G5" s="6"/>
      <c r="I5" s="7"/>
      <c r="J5" s="4"/>
      <c r="K5" s="4"/>
      <c r="L5" s="4"/>
      <c r="M5" s="4"/>
      <c r="N5" s="8"/>
      <c r="P5" s="215" t="s">
        <v>191</v>
      </c>
      <c r="Q5" s="216"/>
      <c r="R5" s="216"/>
      <c r="S5" s="216"/>
      <c r="T5" s="216"/>
      <c r="U5" s="217"/>
    </row>
    <row r="6" spans="2:21" ht="1.5" customHeight="1">
      <c r="B6" s="5"/>
      <c r="G6" s="6"/>
      <c r="I6" s="7"/>
      <c r="J6" s="4"/>
      <c r="K6" s="4"/>
      <c r="L6" s="4"/>
      <c r="M6" s="4"/>
      <c r="N6" s="8"/>
      <c r="P6" s="7"/>
      <c r="Q6" s="4"/>
      <c r="R6" s="4"/>
      <c r="U6" s="6"/>
    </row>
    <row r="7" spans="2:21" ht="13.5" customHeight="1">
      <c r="B7" s="5"/>
      <c r="C7" s="1" t="s">
        <v>2</v>
      </c>
      <c r="D7" s="1" t="s">
        <v>1</v>
      </c>
      <c r="E7" s="1" t="s">
        <v>4</v>
      </c>
      <c r="G7" s="6"/>
      <c r="I7" s="7"/>
      <c r="J7" s="4"/>
      <c r="K7" s="4" t="s">
        <v>12</v>
      </c>
      <c r="L7" s="4"/>
      <c r="M7" s="4"/>
      <c r="N7" s="8"/>
      <c r="P7" s="218" t="s">
        <v>66</v>
      </c>
      <c r="Q7" s="219"/>
      <c r="R7" s="219"/>
      <c r="S7" s="219"/>
      <c r="T7" s="219"/>
      <c r="U7" s="220"/>
    </row>
    <row r="8" spans="2:21">
      <c r="B8" s="5"/>
      <c r="C8" s="1">
        <v>1951</v>
      </c>
      <c r="D8" s="105">
        <v>49260</v>
      </c>
      <c r="E8" s="9"/>
      <c r="G8" s="6"/>
      <c r="I8" s="7" t="s">
        <v>0</v>
      </c>
      <c r="J8" s="4" t="s">
        <v>13</v>
      </c>
      <c r="K8" s="10" t="s">
        <v>29</v>
      </c>
      <c r="L8" s="11" t="s">
        <v>200</v>
      </c>
      <c r="M8" s="4"/>
      <c r="N8" s="8"/>
      <c r="P8" s="164"/>
      <c r="Q8" s="165"/>
      <c r="R8" s="165"/>
      <c r="S8" s="165"/>
      <c r="T8" s="165"/>
      <c r="U8" s="166"/>
    </row>
    <row r="9" spans="2:21">
      <c r="B9" s="5"/>
      <c r="C9" s="1">
        <v>1961</v>
      </c>
      <c r="D9" s="105">
        <v>55248</v>
      </c>
      <c r="E9" s="9"/>
      <c r="G9" s="6"/>
      <c r="I9" s="7"/>
      <c r="J9" s="4"/>
      <c r="K9" s="12"/>
      <c r="L9" s="4"/>
      <c r="M9" s="4"/>
      <c r="N9" s="8"/>
      <c r="P9" s="109"/>
      <c r="Q9" s="100" t="s">
        <v>71</v>
      </c>
      <c r="R9" s="165"/>
      <c r="S9" s="110"/>
      <c r="T9" s="100" t="s">
        <v>190</v>
      </c>
      <c r="U9" s="166"/>
    </row>
    <row r="10" spans="2:21">
      <c r="B10" s="5"/>
      <c r="C10" s="1">
        <v>1971</v>
      </c>
      <c r="D10" s="105">
        <v>71266</v>
      </c>
      <c r="E10" s="9"/>
      <c r="G10" s="6"/>
      <c r="I10" s="7"/>
      <c r="J10" s="13" t="s">
        <v>15</v>
      </c>
      <c r="L10" s="4"/>
      <c r="M10" s="4"/>
      <c r="N10" s="8"/>
      <c r="P10" s="164"/>
      <c r="Q10" s="165"/>
      <c r="R10" s="165"/>
      <c r="S10" s="165"/>
      <c r="T10" s="165"/>
      <c r="U10" s="166"/>
    </row>
    <row r="11" spans="2:21">
      <c r="B11" s="5"/>
      <c r="C11" s="1">
        <v>1981</v>
      </c>
      <c r="D11" s="105">
        <v>102837</v>
      </c>
      <c r="E11" s="9"/>
      <c r="G11" s="6"/>
      <c r="I11" s="7"/>
      <c r="J11" s="4" t="s">
        <v>2</v>
      </c>
      <c r="K11" s="14">
        <v>2011</v>
      </c>
      <c r="L11" s="14">
        <v>2021</v>
      </c>
      <c r="M11" s="14">
        <v>2031</v>
      </c>
      <c r="N11" s="15">
        <v>2041</v>
      </c>
      <c r="P11" s="102"/>
      <c r="Q11" s="100" t="s">
        <v>67</v>
      </c>
      <c r="S11" s="111"/>
      <c r="T11" s="100" t="s">
        <v>69</v>
      </c>
      <c r="U11" s="6"/>
    </row>
    <row r="12" spans="2:21">
      <c r="B12" s="5"/>
      <c r="C12" s="1">
        <v>1991</v>
      </c>
      <c r="D12" s="105">
        <v>146262</v>
      </c>
      <c r="E12" s="9"/>
      <c r="G12" s="6"/>
      <c r="I12" s="7"/>
      <c r="J12" s="4" t="s">
        <v>1</v>
      </c>
      <c r="K12" s="106">
        <v>310000</v>
      </c>
      <c r="L12" s="107">
        <v>400000</v>
      </c>
      <c r="M12" s="107">
        <v>500000</v>
      </c>
      <c r="N12" s="108">
        <v>600000</v>
      </c>
      <c r="P12" s="5"/>
      <c r="Q12" s="100" t="s">
        <v>68</v>
      </c>
      <c r="T12" s="100" t="s">
        <v>70</v>
      </c>
      <c r="U12" s="6"/>
    </row>
    <row r="13" spans="2:21">
      <c r="B13" s="5"/>
      <c r="C13" s="1">
        <v>2001</v>
      </c>
      <c r="D13" s="105">
        <v>211893</v>
      </c>
      <c r="E13" s="105">
        <v>31174</v>
      </c>
      <c r="G13" s="6"/>
      <c r="I13" s="7"/>
      <c r="J13" s="4"/>
      <c r="K13" s="4"/>
      <c r="L13" s="4"/>
      <c r="M13" s="4"/>
      <c r="N13" s="8"/>
      <c r="P13" s="103"/>
      <c r="Q13" s="100" t="s">
        <v>75</v>
      </c>
      <c r="U13" s="6"/>
    </row>
    <row r="14" spans="2:21" ht="25.5" customHeight="1">
      <c r="B14" s="5"/>
      <c r="G14" s="6"/>
      <c r="I14" s="7"/>
      <c r="J14" s="202" t="s">
        <v>16</v>
      </c>
      <c r="K14" s="202"/>
      <c r="L14" s="202"/>
      <c r="M14" s="202"/>
      <c r="N14" s="203"/>
      <c r="P14" s="167" t="s">
        <v>192</v>
      </c>
      <c r="R14" s="101"/>
      <c r="U14" s="104"/>
    </row>
    <row r="15" spans="2:21">
      <c r="B15" s="7"/>
      <c r="C15" s="4"/>
      <c r="D15" s="4"/>
      <c r="E15" s="4"/>
      <c r="F15" s="4"/>
      <c r="G15" s="8"/>
      <c r="I15" s="7"/>
      <c r="J15" s="4" t="s">
        <v>17</v>
      </c>
      <c r="K15" s="4" t="s">
        <v>24</v>
      </c>
      <c r="L15" s="4"/>
      <c r="M15" s="4"/>
      <c r="N15" s="8"/>
      <c r="P15" s="5" t="s">
        <v>193</v>
      </c>
      <c r="Q15" s="101"/>
      <c r="R15" s="101"/>
      <c r="S15" s="101"/>
      <c r="T15" s="100"/>
      <c r="U15" s="104"/>
    </row>
    <row r="16" spans="2:21">
      <c r="B16" s="17" t="s">
        <v>5</v>
      </c>
      <c r="C16" s="211" t="s">
        <v>78</v>
      </c>
      <c r="D16" s="211"/>
      <c r="E16" s="211"/>
      <c r="F16" s="211"/>
      <c r="G16" s="18"/>
      <c r="I16" s="7"/>
      <c r="J16" s="1" t="s">
        <v>17</v>
      </c>
      <c r="K16" s="14" t="s">
        <v>18</v>
      </c>
      <c r="L16" s="14" t="s">
        <v>19</v>
      </c>
      <c r="M16" s="133" t="s">
        <v>20</v>
      </c>
      <c r="N16" s="19" t="s">
        <v>21</v>
      </c>
      <c r="P16" s="225" t="s">
        <v>74</v>
      </c>
      <c r="Q16" s="205"/>
      <c r="R16" s="205"/>
      <c r="S16" s="205"/>
      <c r="T16" s="205"/>
      <c r="U16" s="226"/>
    </row>
    <row r="17" spans="2:21">
      <c r="B17" s="17"/>
      <c r="C17" s="172" t="s">
        <v>81</v>
      </c>
      <c r="D17" s="172"/>
      <c r="E17" s="173">
        <v>2010</v>
      </c>
      <c r="F17" s="173">
        <v>275000</v>
      </c>
      <c r="G17" s="181" t="s">
        <v>7</v>
      </c>
      <c r="I17" s="7"/>
      <c r="J17" s="1" t="s">
        <v>22</v>
      </c>
      <c r="K17" s="20">
        <v>0.02</v>
      </c>
      <c r="L17" s="20">
        <v>1.9E-2</v>
      </c>
      <c r="M17" s="20">
        <v>1.7999999999999999E-2</v>
      </c>
      <c r="N17" s="94">
        <v>1.7000000000000001E-2</v>
      </c>
      <c r="P17" s="227" t="s">
        <v>73</v>
      </c>
      <c r="Q17" s="228"/>
      <c r="R17" s="228"/>
      <c r="S17" s="228"/>
      <c r="T17" s="228"/>
      <c r="U17" s="229"/>
    </row>
    <row r="18" spans="2:21">
      <c r="B18" s="17"/>
      <c r="C18" s="161" t="s">
        <v>82</v>
      </c>
      <c r="D18" s="161"/>
      <c r="E18" s="161"/>
      <c r="F18" s="174"/>
      <c r="G18" s="182" t="s">
        <v>8</v>
      </c>
      <c r="I18" s="7"/>
      <c r="J18" s="4"/>
      <c r="K18" s="36"/>
      <c r="L18" s="36"/>
      <c r="M18" s="36"/>
      <c r="N18" s="37"/>
      <c r="P18" s="233" t="s">
        <v>199</v>
      </c>
      <c r="Q18" s="205"/>
      <c r="R18" s="205"/>
      <c r="S18" s="205"/>
      <c r="T18" s="205"/>
      <c r="U18" s="226"/>
    </row>
    <row r="19" spans="2:21" ht="14.25" thickBot="1">
      <c r="B19" s="17"/>
      <c r="C19" s="175" t="s">
        <v>83</v>
      </c>
      <c r="D19" s="176"/>
      <c r="E19" s="175"/>
      <c r="F19" s="159"/>
      <c r="G19" s="183" t="s">
        <v>7</v>
      </c>
      <c r="I19" s="7" t="s">
        <v>5</v>
      </c>
      <c r="J19" s="4" t="s">
        <v>52</v>
      </c>
      <c r="K19" s="36"/>
      <c r="L19" s="36"/>
      <c r="M19" s="36"/>
      <c r="N19" s="37"/>
      <c r="P19" s="230" t="s">
        <v>189</v>
      </c>
      <c r="Q19" s="231"/>
      <c r="R19" s="231"/>
      <c r="S19" s="231"/>
      <c r="T19" s="231"/>
      <c r="U19" s="232"/>
    </row>
    <row r="20" spans="2:21">
      <c r="B20" s="17"/>
      <c r="C20" s="209" t="s">
        <v>85</v>
      </c>
      <c r="D20" s="209"/>
      <c r="E20" s="209"/>
      <c r="F20" s="159"/>
      <c r="G20" s="183" t="s">
        <v>84</v>
      </c>
      <c r="I20" s="7"/>
      <c r="J20" s="4" t="s">
        <v>53</v>
      </c>
      <c r="K20" s="36" t="s">
        <v>2</v>
      </c>
      <c r="M20" s="40">
        <v>2011</v>
      </c>
      <c r="N20" s="37"/>
      <c r="P20" s="101"/>
      <c r="Q20" s="100"/>
      <c r="R20" s="101"/>
    </row>
    <row r="21" spans="2:21" ht="15" customHeight="1">
      <c r="B21" s="17"/>
      <c r="C21" s="206" t="s">
        <v>87</v>
      </c>
      <c r="D21" s="206"/>
      <c r="E21" s="206"/>
      <c r="F21" s="159">
        <v>15</v>
      </c>
      <c r="G21" s="6" t="s">
        <v>9</v>
      </c>
      <c r="I21" s="7"/>
      <c r="J21" s="224" t="s">
        <v>93</v>
      </c>
      <c r="K21" s="204" t="s">
        <v>54</v>
      </c>
      <c r="L21" s="39">
        <v>15</v>
      </c>
      <c r="M21" s="41">
        <f>M20+L21</f>
        <v>2026</v>
      </c>
      <c r="N21" s="8"/>
    </row>
    <row r="22" spans="2:21" ht="13.5" customHeight="1">
      <c r="B22" s="17"/>
      <c r="C22" s="210" t="s">
        <v>88</v>
      </c>
      <c r="D22" s="210"/>
      <c r="E22" s="210"/>
      <c r="F22" s="159">
        <v>1</v>
      </c>
      <c r="G22" s="184"/>
      <c r="I22" s="17"/>
      <c r="J22" s="224"/>
      <c r="K22" s="204"/>
      <c r="L22" s="4"/>
      <c r="M22" s="38"/>
      <c r="N22" s="8"/>
      <c r="P22" s="42"/>
    </row>
    <row r="23" spans="2:21" ht="13.5" customHeight="1">
      <c r="B23" s="17"/>
      <c r="C23" s="210" t="s">
        <v>86</v>
      </c>
      <c r="D23" s="210"/>
      <c r="E23" s="210"/>
      <c r="F23" s="159">
        <v>0</v>
      </c>
      <c r="G23" s="183" t="s">
        <v>8</v>
      </c>
      <c r="I23" s="17" t="s">
        <v>51</v>
      </c>
      <c r="J23" s="211" t="s">
        <v>11</v>
      </c>
      <c r="K23" s="211"/>
      <c r="L23" s="161" t="s">
        <v>32</v>
      </c>
      <c r="M23" s="4" t="s">
        <v>37</v>
      </c>
      <c r="N23" s="8" t="s">
        <v>38</v>
      </c>
    </row>
    <row r="24" spans="2:21">
      <c r="B24" s="17"/>
      <c r="C24" s="210" t="s">
        <v>89</v>
      </c>
      <c r="D24" s="210"/>
      <c r="E24" s="210"/>
      <c r="F24" s="113">
        <v>0</v>
      </c>
      <c r="G24" s="183" t="s">
        <v>8</v>
      </c>
      <c r="I24" s="17"/>
      <c r="J24" s="211" t="s">
        <v>124</v>
      </c>
      <c r="K24" s="211"/>
      <c r="L24" s="159">
        <v>5500000</v>
      </c>
      <c r="M24" s="4">
        <v>100</v>
      </c>
      <c r="N24" s="162">
        <v>918</v>
      </c>
    </row>
    <row r="25" spans="2:21">
      <c r="B25" s="17"/>
      <c r="C25" s="209" t="s">
        <v>90</v>
      </c>
      <c r="D25" s="209"/>
      <c r="E25" s="209"/>
      <c r="F25" s="159"/>
      <c r="G25" s="183" t="s">
        <v>7</v>
      </c>
      <c r="I25" s="17"/>
      <c r="J25" s="211" t="s">
        <v>201</v>
      </c>
      <c r="K25" s="211"/>
      <c r="L25" s="159">
        <v>25000</v>
      </c>
      <c r="M25" s="4">
        <v>150</v>
      </c>
      <c r="N25" s="162">
        <v>1395</v>
      </c>
    </row>
    <row r="26" spans="2:21">
      <c r="B26" s="17"/>
      <c r="C26" s="209" t="s">
        <v>91</v>
      </c>
      <c r="D26" s="209"/>
      <c r="E26" s="209"/>
      <c r="F26" s="159">
        <v>150</v>
      </c>
      <c r="G26" s="183" t="s">
        <v>9</v>
      </c>
      <c r="I26" s="17"/>
      <c r="J26" s="208" t="s">
        <v>94</v>
      </c>
      <c r="K26" s="208"/>
      <c r="L26" s="160">
        <v>7000000</v>
      </c>
      <c r="M26" s="4">
        <v>200</v>
      </c>
      <c r="N26" s="162">
        <v>1540</v>
      </c>
    </row>
    <row r="27" spans="2:21">
      <c r="B27" s="17"/>
      <c r="C27" s="209" t="s">
        <v>92</v>
      </c>
      <c r="D27" s="209"/>
      <c r="E27" s="209"/>
      <c r="F27" s="159">
        <v>70</v>
      </c>
      <c r="G27" s="183" t="s">
        <v>9</v>
      </c>
      <c r="I27" s="17"/>
      <c r="J27" s="205" t="s">
        <v>202</v>
      </c>
      <c r="K27" s="205"/>
      <c r="L27" s="1">
        <v>10000000</v>
      </c>
      <c r="M27" s="4">
        <v>250</v>
      </c>
      <c r="N27" s="162">
        <v>2005</v>
      </c>
    </row>
    <row r="28" spans="2:21">
      <c r="B28" s="17"/>
      <c r="C28" s="205" t="s">
        <v>204</v>
      </c>
      <c r="D28" s="205"/>
      <c r="E28" s="205"/>
      <c r="F28" s="160">
        <v>0</v>
      </c>
      <c r="G28" s="183"/>
      <c r="I28" s="17"/>
      <c r="K28" s="170" t="s">
        <v>37</v>
      </c>
      <c r="L28" s="4" t="s">
        <v>38</v>
      </c>
      <c r="M28" s="4">
        <v>300</v>
      </c>
      <c r="N28" s="162">
        <v>2543</v>
      </c>
      <c r="P28" s="16"/>
      <c r="Q28" s="16"/>
      <c r="R28" s="16"/>
      <c r="S28" s="16"/>
      <c r="T28" s="16"/>
      <c r="U28" s="16"/>
    </row>
    <row r="29" spans="2:21">
      <c r="B29" s="17"/>
      <c r="C29" s="205" t="s">
        <v>98</v>
      </c>
      <c r="D29" s="205"/>
      <c r="E29" s="205"/>
      <c r="F29" s="178">
        <v>0.8</v>
      </c>
      <c r="G29" s="6"/>
      <c r="I29" s="17"/>
      <c r="J29" s="134"/>
      <c r="K29" s="4">
        <v>700</v>
      </c>
      <c r="L29" s="169">
        <v>9622</v>
      </c>
      <c r="M29" s="4">
        <v>350</v>
      </c>
      <c r="N29" s="162">
        <v>3197</v>
      </c>
      <c r="P29" s="16"/>
      <c r="Q29" s="16"/>
      <c r="R29" s="16"/>
      <c r="S29" s="16"/>
      <c r="T29" s="16"/>
      <c r="U29" s="16"/>
    </row>
    <row r="30" spans="2:21">
      <c r="B30" s="17"/>
      <c r="C30" s="205" t="s">
        <v>205</v>
      </c>
      <c r="D30" s="205"/>
      <c r="E30" s="179" t="s">
        <v>106</v>
      </c>
      <c r="F30" s="180">
        <v>0.2</v>
      </c>
      <c r="G30" s="6" t="s">
        <v>107</v>
      </c>
      <c r="I30" s="17"/>
      <c r="J30" s="134"/>
      <c r="K30" s="4">
        <v>800</v>
      </c>
      <c r="L30" s="169">
        <v>12550</v>
      </c>
      <c r="M30" s="4">
        <v>400</v>
      </c>
      <c r="N30" s="163">
        <v>3833</v>
      </c>
      <c r="P30" s="16"/>
      <c r="Q30" s="16"/>
      <c r="R30" s="16"/>
      <c r="S30" s="16"/>
      <c r="T30" s="16"/>
      <c r="U30" s="16"/>
    </row>
    <row r="31" spans="2:21">
      <c r="B31" s="17"/>
      <c r="C31" s="205" t="s">
        <v>108</v>
      </c>
      <c r="D31" s="205"/>
      <c r="E31" s="205"/>
      <c r="F31" s="177">
        <v>2</v>
      </c>
      <c r="G31" s="183" t="s">
        <v>109</v>
      </c>
      <c r="I31" s="17"/>
      <c r="J31" s="158"/>
      <c r="K31" s="4">
        <v>900</v>
      </c>
      <c r="L31" s="169">
        <v>15314</v>
      </c>
      <c r="M31" s="4">
        <v>450</v>
      </c>
      <c r="N31" s="163">
        <v>4547</v>
      </c>
      <c r="P31" s="16"/>
      <c r="Q31" s="16"/>
      <c r="R31" s="16"/>
      <c r="S31" s="16"/>
      <c r="T31" s="16"/>
      <c r="U31" s="16"/>
    </row>
    <row r="32" spans="2:21">
      <c r="B32" s="17"/>
      <c r="C32" s="206" t="s">
        <v>112</v>
      </c>
      <c r="D32" s="206"/>
      <c r="E32" s="206"/>
      <c r="F32" s="160">
        <v>5</v>
      </c>
      <c r="G32" s="183" t="s">
        <v>8</v>
      </c>
      <c r="I32" s="17"/>
      <c r="J32" s="134"/>
      <c r="K32" s="4">
        <v>1000</v>
      </c>
      <c r="L32" s="169">
        <v>18354</v>
      </c>
      <c r="M32" s="4">
        <v>500</v>
      </c>
      <c r="N32" s="163">
        <v>5325</v>
      </c>
      <c r="P32" s="168"/>
      <c r="Q32" s="134"/>
      <c r="R32" s="134"/>
      <c r="S32" s="134"/>
      <c r="T32" s="134"/>
      <c r="U32" s="134"/>
    </row>
    <row r="33" spans="2:21">
      <c r="B33" s="17"/>
      <c r="C33" s="205" t="s">
        <v>114</v>
      </c>
      <c r="D33" s="205"/>
      <c r="E33" s="205"/>
      <c r="F33" s="177">
        <v>5000</v>
      </c>
      <c r="G33" s="183" t="s">
        <v>115</v>
      </c>
      <c r="I33" s="7"/>
      <c r="J33" s="158" t="s">
        <v>203</v>
      </c>
      <c r="L33" s="1">
        <v>125</v>
      </c>
      <c r="M33" s="4">
        <v>600</v>
      </c>
      <c r="N33" s="163">
        <v>7015</v>
      </c>
      <c r="P33" s="134"/>
      <c r="Q33" s="134"/>
      <c r="R33" s="134"/>
      <c r="S33" s="134"/>
      <c r="T33" s="134"/>
      <c r="U33" s="134"/>
    </row>
    <row r="34" spans="2:21">
      <c r="B34" s="17"/>
      <c r="C34" s="205" t="s">
        <v>116</v>
      </c>
      <c r="D34" s="205"/>
      <c r="E34" s="205"/>
      <c r="F34" s="113">
        <v>20</v>
      </c>
      <c r="G34" s="6" t="s">
        <v>40</v>
      </c>
      <c r="I34" s="7" t="s">
        <v>197</v>
      </c>
      <c r="J34" s="1" t="s">
        <v>198</v>
      </c>
      <c r="L34" s="133" t="s">
        <v>194</v>
      </c>
      <c r="M34" s="133" t="s">
        <v>195</v>
      </c>
      <c r="N34" s="19" t="s">
        <v>196</v>
      </c>
      <c r="P34" s="168"/>
      <c r="Q34" s="134"/>
      <c r="R34" s="134"/>
      <c r="S34" s="134"/>
      <c r="T34" s="134"/>
      <c r="U34" s="134"/>
    </row>
    <row r="35" spans="2:21">
      <c r="B35" s="17"/>
      <c r="C35" s="205" t="s">
        <v>117</v>
      </c>
      <c r="D35" s="205"/>
      <c r="E35" s="205"/>
      <c r="F35" s="113">
        <v>14.2</v>
      </c>
      <c r="G35" s="6" t="s">
        <v>63</v>
      </c>
      <c r="I35" s="7"/>
      <c r="J35" s="187" t="s">
        <v>133</v>
      </c>
      <c r="K35" s="188" t="s">
        <v>134</v>
      </c>
      <c r="L35" s="189">
        <f>43.7</f>
        <v>43.7</v>
      </c>
      <c r="M35" s="189">
        <f>81.69</f>
        <v>81.69</v>
      </c>
      <c r="N35" s="193">
        <f>1173.11</f>
        <v>1173.1099999999999</v>
      </c>
      <c r="P35" s="205"/>
      <c r="Q35" s="205"/>
      <c r="R35" s="205"/>
      <c r="S35" s="205"/>
      <c r="T35" s="205"/>
      <c r="U35" s="205"/>
    </row>
    <row r="36" spans="2:21" ht="14.25" thickBot="1">
      <c r="B36" s="201"/>
      <c r="C36" s="207" t="s">
        <v>118</v>
      </c>
      <c r="D36" s="207"/>
      <c r="E36" s="207"/>
      <c r="F36" s="185">
        <v>46.5</v>
      </c>
      <c r="G36" s="186" t="s">
        <v>63</v>
      </c>
      <c r="I36" s="7"/>
      <c r="J36" s="149" t="s">
        <v>135</v>
      </c>
      <c r="K36" s="188"/>
      <c r="L36" s="189">
        <f>3</f>
        <v>3</v>
      </c>
      <c r="M36" s="189">
        <f>2.5</f>
        <v>2.5</v>
      </c>
      <c r="N36" s="193">
        <v>2.25</v>
      </c>
    </row>
    <row r="37" spans="2:21">
      <c r="I37" s="7"/>
      <c r="J37" s="149" t="s">
        <v>136</v>
      </c>
      <c r="K37" s="188" t="s">
        <v>40</v>
      </c>
      <c r="L37" s="189">
        <v>2.2000000000000002</v>
      </c>
      <c r="M37" s="189">
        <v>2.2000000000000002</v>
      </c>
      <c r="N37" s="193">
        <v>2.2000000000000002</v>
      </c>
      <c r="P37" s="134"/>
      <c r="Q37" s="134"/>
      <c r="R37" s="134"/>
      <c r="S37" s="134"/>
      <c r="T37" s="134"/>
      <c r="U37" s="134"/>
    </row>
    <row r="38" spans="2:21">
      <c r="I38" s="5"/>
      <c r="J38" s="149" t="s">
        <v>137</v>
      </c>
      <c r="K38" s="188" t="s">
        <v>40</v>
      </c>
      <c r="L38" s="189">
        <v>207.5</v>
      </c>
      <c r="M38" s="189">
        <v>207.5</v>
      </c>
      <c r="N38" s="193">
        <v>202.76</v>
      </c>
      <c r="P38" s="134"/>
      <c r="Q38" s="134"/>
      <c r="R38" s="134"/>
      <c r="S38" s="134"/>
      <c r="T38" s="134"/>
      <c r="U38" s="134"/>
    </row>
    <row r="39" spans="2:21">
      <c r="I39" s="7"/>
      <c r="J39" s="149" t="s">
        <v>138</v>
      </c>
      <c r="K39" s="188" t="s">
        <v>40</v>
      </c>
      <c r="L39" s="189">
        <v>211</v>
      </c>
      <c r="M39" s="189">
        <v>211</v>
      </c>
      <c r="N39" s="193">
        <v>207</v>
      </c>
      <c r="P39" s="168"/>
      <c r="Q39" s="134"/>
      <c r="R39" s="134"/>
      <c r="S39" s="134"/>
      <c r="T39" s="134"/>
      <c r="U39" s="134"/>
    </row>
    <row r="40" spans="2:21">
      <c r="I40" s="5"/>
      <c r="J40" s="149" t="s">
        <v>139</v>
      </c>
      <c r="K40" s="188" t="s">
        <v>40</v>
      </c>
      <c r="L40" s="189">
        <v>150</v>
      </c>
      <c r="M40" s="189">
        <v>150</v>
      </c>
      <c r="N40" s="193">
        <v>600</v>
      </c>
      <c r="P40" s="168"/>
      <c r="Q40" s="134"/>
      <c r="R40" s="134"/>
      <c r="S40" s="134"/>
      <c r="T40" s="134"/>
      <c r="U40" s="134"/>
    </row>
    <row r="41" spans="2:21" ht="24.75" customHeight="1">
      <c r="I41" s="5"/>
      <c r="J41" s="149" t="s">
        <v>140</v>
      </c>
      <c r="K41" s="188" t="s">
        <v>40</v>
      </c>
      <c r="L41" s="189">
        <v>7</v>
      </c>
      <c r="M41" s="189">
        <v>7</v>
      </c>
      <c r="N41" s="193">
        <v>7.5</v>
      </c>
      <c r="P41" s="134"/>
      <c r="Q41" s="134"/>
      <c r="R41" s="134"/>
      <c r="S41" s="134"/>
      <c r="T41" s="134"/>
      <c r="U41" s="134"/>
    </row>
    <row r="42" spans="2:21" ht="15" customHeight="1">
      <c r="I42" s="5"/>
      <c r="J42" s="149" t="s">
        <v>143</v>
      </c>
      <c r="K42" s="188" t="s">
        <v>144</v>
      </c>
      <c r="L42" s="190">
        <v>20</v>
      </c>
      <c r="M42" s="190">
        <v>20</v>
      </c>
      <c r="N42" s="194">
        <v>20</v>
      </c>
      <c r="P42" s="168"/>
      <c r="Q42" s="134"/>
      <c r="R42" s="134"/>
      <c r="S42" s="134"/>
      <c r="T42" s="134"/>
      <c r="U42" s="134"/>
    </row>
    <row r="43" spans="2:21">
      <c r="I43" s="5"/>
      <c r="J43" s="149" t="s">
        <v>145</v>
      </c>
      <c r="K43" s="188" t="s">
        <v>146</v>
      </c>
      <c r="L43" s="190">
        <v>1.2</v>
      </c>
      <c r="M43" s="190">
        <v>1.2</v>
      </c>
      <c r="N43" s="194">
        <v>1.2</v>
      </c>
    </row>
    <row r="44" spans="2:21" ht="14.25" customHeight="1">
      <c r="I44" s="5"/>
      <c r="J44" s="149" t="s">
        <v>147</v>
      </c>
      <c r="K44" s="188" t="s">
        <v>146</v>
      </c>
      <c r="L44" s="190">
        <v>0.8</v>
      </c>
      <c r="M44" s="190">
        <v>0.8</v>
      </c>
      <c r="N44" s="194">
        <v>0.8</v>
      </c>
    </row>
    <row r="45" spans="2:21" ht="15.75" customHeight="1">
      <c r="I45" s="5"/>
      <c r="J45" s="149" t="s">
        <v>148</v>
      </c>
      <c r="K45" s="188" t="s">
        <v>149</v>
      </c>
      <c r="L45" s="191">
        <v>2</v>
      </c>
      <c r="M45" s="191">
        <v>2</v>
      </c>
      <c r="N45" s="195">
        <v>2</v>
      </c>
    </row>
    <row r="46" spans="2:21">
      <c r="I46" s="5"/>
      <c r="J46" s="149" t="s">
        <v>150</v>
      </c>
      <c r="K46" s="188"/>
      <c r="L46" s="192">
        <v>1</v>
      </c>
      <c r="M46" s="192">
        <v>1</v>
      </c>
      <c r="N46" s="196">
        <v>1</v>
      </c>
    </row>
    <row r="47" spans="2:21" ht="15" customHeight="1" thickBot="1">
      <c r="C47" s="42"/>
      <c r="I47" s="171"/>
      <c r="J47" s="197" t="s">
        <v>151</v>
      </c>
      <c r="K47" s="198"/>
      <c r="L47" s="199" t="s">
        <v>35</v>
      </c>
      <c r="M47" s="199" t="s">
        <v>35</v>
      </c>
      <c r="N47" s="200" t="s">
        <v>35</v>
      </c>
    </row>
    <row r="50" spans="3:5" ht="15" customHeight="1"/>
    <row r="51" spans="3:5" ht="27.75" customHeight="1"/>
    <row r="59" spans="3:5">
      <c r="C59" s="205"/>
      <c r="D59" s="205"/>
      <c r="E59" s="205"/>
    </row>
    <row r="60" spans="3:5">
      <c r="C60" s="206"/>
      <c r="D60" s="206"/>
      <c r="E60" s="206"/>
    </row>
  </sheetData>
  <sheetProtection selectLockedCells="1"/>
  <mergeCells count="38">
    <mergeCell ref="P35:U35"/>
    <mergeCell ref="J27:K27"/>
    <mergeCell ref="P19:U19"/>
    <mergeCell ref="J23:K23"/>
    <mergeCell ref="P18:U18"/>
    <mergeCell ref="J25:K25"/>
    <mergeCell ref="C23:E23"/>
    <mergeCell ref="J24:K24"/>
    <mergeCell ref="C25:E25"/>
    <mergeCell ref="P3:U3"/>
    <mergeCell ref="P5:U5"/>
    <mergeCell ref="P7:U7"/>
    <mergeCell ref="B3:G3"/>
    <mergeCell ref="I3:N3"/>
    <mergeCell ref="C21:E21"/>
    <mergeCell ref="C16:F16"/>
    <mergeCell ref="C20:E20"/>
    <mergeCell ref="J21:J22"/>
    <mergeCell ref="C24:E24"/>
    <mergeCell ref="C22:E22"/>
    <mergeCell ref="P16:U16"/>
    <mergeCell ref="P17:U17"/>
    <mergeCell ref="J14:N14"/>
    <mergeCell ref="K21:K22"/>
    <mergeCell ref="C59:E59"/>
    <mergeCell ref="C60:E60"/>
    <mergeCell ref="C34:E34"/>
    <mergeCell ref="C35:E35"/>
    <mergeCell ref="C36:E36"/>
    <mergeCell ref="C32:E32"/>
    <mergeCell ref="C28:E28"/>
    <mergeCell ref="C33:E33"/>
    <mergeCell ref="J26:K26"/>
    <mergeCell ref="C29:E29"/>
    <mergeCell ref="C31:E31"/>
    <mergeCell ref="C27:E27"/>
    <mergeCell ref="C26:E26"/>
    <mergeCell ref="C30:D30"/>
  </mergeCells>
  <conditionalFormatting sqref="K8 L21">
    <cfRule type="expression" dxfId="20" priority="8" stopIfTrue="1">
      <formula>"""Y"""</formula>
    </cfRule>
    <cfRule type="expression" dxfId="19" priority="9" stopIfTrue="1">
      <formula>"""N"""</formula>
    </cfRule>
  </conditionalFormatting>
  <conditionalFormatting sqref="K8 L21">
    <cfRule type="containsText" dxfId="18" priority="7" operator="containsText" text="Y">
      <formula>NOT(ISERROR(SEARCH("Y",K8)))</formula>
    </cfRule>
  </conditionalFormatting>
  <dataValidations count="2">
    <dataValidation type="list" allowBlank="1" showInputMessage="1" showErrorMessage="1" sqref="K8">
      <formula1>"Arithmetic Growth Method (AM), Incremental Increase (IM), Geometric Growth Method (GM), Average of AM_IM_GM, Available Projected Data, Growth Rate based Projection"</formula1>
    </dataValidation>
    <dataValidation type="list" allowBlank="1" showInputMessage="1" showErrorMessage="1" sqref="L21">
      <formula1>"15, 30"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38"/>
  <sheetViews>
    <sheetView topLeftCell="A19" workbookViewId="0">
      <selection activeCell="K24" sqref="K24"/>
    </sheetView>
  </sheetViews>
  <sheetFormatPr defaultRowHeight="12.75"/>
  <cols>
    <col min="1" max="1" width="9.140625" style="53"/>
    <col min="2" max="2" width="9.5703125" style="53" customWidth="1"/>
    <col min="3" max="3" width="11.140625" style="53" customWidth="1"/>
    <col min="4" max="4" width="12.85546875" style="53" customWidth="1"/>
    <col min="5" max="5" width="14.28515625" style="53" customWidth="1"/>
    <col min="6" max="6" width="11.28515625" style="53" customWidth="1"/>
    <col min="7" max="7" width="8.7109375" style="53" customWidth="1"/>
    <col min="8" max="16384" width="9.140625" style="53"/>
  </cols>
  <sheetData>
    <row r="2" spans="2:5">
      <c r="B2" s="84" t="s">
        <v>60</v>
      </c>
    </row>
    <row r="3" spans="2:5" ht="3" customHeight="1"/>
    <row r="4" spans="2:5">
      <c r="B4" s="85" t="s">
        <v>2</v>
      </c>
      <c r="C4" s="86" t="s">
        <v>1</v>
      </c>
      <c r="D4" s="87" t="s">
        <v>80</v>
      </c>
      <c r="E4" s="154"/>
    </row>
    <row r="5" spans="2:5">
      <c r="B5" s="88"/>
      <c r="C5" s="89"/>
      <c r="D5" s="90" t="s">
        <v>8</v>
      </c>
      <c r="E5" s="155"/>
    </row>
    <row r="6" spans="2:5">
      <c r="B6" s="71">
        <f>'Waste Generation_STP'!A6</f>
        <v>2011</v>
      </c>
      <c r="C6" s="75">
        <f>'Waste Generation_STP'!B6</f>
        <v>285016.54307375319</v>
      </c>
      <c r="D6" s="91">
        <f>'Waste Generation_STP'!H6</f>
        <v>35.781786651965348</v>
      </c>
      <c r="E6" s="156"/>
    </row>
    <row r="7" spans="2:5">
      <c r="B7" s="71">
        <f>'Waste Generation_STP'!A7</f>
        <v>2016</v>
      </c>
      <c r="C7" s="75">
        <f>'Waste Generation_STP'!B7</f>
        <v>330557.33424758981</v>
      </c>
      <c r="D7" s="91">
        <f>'Waste Generation_STP'!H7</f>
        <v>40.700192098739699</v>
      </c>
      <c r="E7" s="156"/>
    </row>
    <row r="8" spans="2:5">
      <c r="B8" s="71">
        <f>'Waste Generation_STP'!A8</f>
        <v>2021</v>
      </c>
      <c r="C8" s="75">
        <f>'Waste Generation_STP'!B8</f>
        <v>383374.76851860422</v>
      </c>
      <c r="D8" s="91">
        <f>'Waste Generation_STP'!H8</f>
        <v>46.404475000009256</v>
      </c>
      <c r="E8" s="156"/>
    </row>
    <row r="9" spans="2:5">
      <c r="B9" s="71">
        <f>'Waste Generation_STP'!A9</f>
        <v>2026</v>
      </c>
      <c r="C9" s="75">
        <f>'Waste Generation_STP'!B9</f>
        <v>444631.52956880693</v>
      </c>
      <c r="D9" s="91">
        <f>'Waste Generation_STP'!H9</f>
        <v>53.020205193431153</v>
      </c>
      <c r="E9" s="156"/>
    </row>
    <row r="10" spans="2:5">
      <c r="B10" s="71">
        <f>'Waste Generation_STP'!A10</f>
        <v>2031</v>
      </c>
      <c r="C10" s="75">
        <f>'Waste Generation_STP'!B10</f>
        <v>515676.07813789468</v>
      </c>
      <c r="D10" s="91">
        <f>'Waste Generation_STP'!H10</f>
        <v>60.693016438892634</v>
      </c>
      <c r="E10" s="156"/>
    </row>
    <row r="11" spans="2:5">
      <c r="B11" s="71">
        <f>'Waste Generation_STP'!A11</f>
        <v>2036</v>
      </c>
      <c r="C11" s="75">
        <f>'Waste Generation_STP'!B11</f>
        <v>598072.33603420889</v>
      </c>
      <c r="D11" s="91">
        <f>'Waste Generation_STP'!H11</f>
        <v>69.591812291694552</v>
      </c>
      <c r="E11" s="156"/>
    </row>
    <row r="12" spans="2:5">
      <c r="B12" s="72">
        <f>'Waste Generation_STP'!A12</f>
        <v>2041</v>
      </c>
      <c r="C12" s="76">
        <f>'Waste Generation_STP'!B12</f>
        <v>693634.11314528261</v>
      </c>
      <c r="D12" s="92">
        <f>'Waste Generation_STP'!H12</f>
        <v>79.912484219690526</v>
      </c>
      <c r="E12" s="156"/>
    </row>
    <row r="15" spans="2:5">
      <c r="B15" s="84" t="s">
        <v>185</v>
      </c>
    </row>
    <row r="16" spans="2:5" ht="2.25" customHeight="1"/>
    <row r="17" spans="2:7">
      <c r="B17" s="96"/>
      <c r="C17" s="97"/>
      <c r="D17" s="97"/>
      <c r="E17" s="98"/>
      <c r="F17" s="86"/>
      <c r="G17" s="87"/>
    </row>
    <row r="18" spans="2:7">
      <c r="B18" s="64" t="s">
        <v>102</v>
      </c>
      <c r="C18" s="65"/>
      <c r="D18" s="65"/>
      <c r="E18" s="65"/>
      <c r="F18" s="59" t="s">
        <v>8</v>
      </c>
      <c r="G18" s="66">
        <f>'Waste Generation_STP'!H17</f>
        <v>79.912484219690526</v>
      </c>
    </row>
    <row r="19" spans="2:7">
      <c r="B19" s="64" t="s">
        <v>104</v>
      </c>
      <c r="C19" s="65"/>
      <c r="D19" s="65"/>
      <c r="E19" s="65"/>
      <c r="F19" s="59" t="s">
        <v>8</v>
      </c>
      <c r="G19" s="66">
        <f>'Waste Generation_STP'!H18</f>
        <v>0</v>
      </c>
    </row>
    <row r="20" spans="2:7">
      <c r="B20" s="64" t="s">
        <v>105</v>
      </c>
      <c r="C20" s="65"/>
      <c r="D20" s="65"/>
      <c r="E20" s="65"/>
      <c r="F20" s="59" t="s">
        <v>8</v>
      </c>
      <c r="G20" s="66">
        <f>G18-G19</f>
        <v>79.912484219690526</v>
      </c>
    </row>
    <row r="21" spans="2:7">
      <c r="B21" s="64" t="s">
        <v>103</v>
      </c>
      <c r="C21" s="65"/>
      <c r="D21" s="65"/>
      <c r="E21" s="65"/>
      <c r="F21" s="59" t="s">
        <v>63</v>
      </c>
      <c r="G21" s="66">
        <f>'Waste Generation_STP'!H20</f>
        <v>15.982496843938106</v>
      </c>
    </row>
    <row r="22" spans="2:7">
      <c r="B22" s="135" t="s">
        <v>113</v>
      </c>
      <c r="C22" s="136"/>
      <c r="D22" s="136"/>
      <c r="E22" s="136"/>
      <c r="F22" s="137" t="s">
        <v>110</v>
      </c>
      <c r="G22" s="138">
        <f>'Waste Generation_STP'!H21</f>
        <v>2</v>
      </c>
    </row>
    <row r="23" spans="2:7">
      <c r="B23" s="141" t="s">
        <v>111</v>
      </c>
      <c r="C23" s="139"/>
      <c r="D23" s="139"/>
      <c r="E23" s="139"/>
      <c r="F23" s="140" t="s">
        <v>8</v>
      </c>
      <c r="G23" s="144">
        <f>G20/G22</f>
        <v>39.956242109845263</v>
      </c>
    </row>
    <row r="24" spans="2:7">
      <c r="B24" s="145" t="s">
        <v>186</v>
      </c>
      <c r="C24" s="143"/>
      <c r="D24" s="143"/>
      <c r="E24" s="143"/>
      <c r="F24" s="143" t="s">
        <v>8</v>
      </c>
      <c r="G24" s="146">
        <f>G20-G23</f>
        <v>39.956242109845263</v>
      </c>
    </row>
    <row r="25" spans="2:7">
      <c r="B25" s="140"/>
      <c r="C25" s="140"/>
      <c r="D25" s="140"/>
      <c r="E25" s="140"/>
      <c r="F25" s="140"/>
      <c r="G25" s="140"/>
    </row>
    <row r="26" spans="2:7">
      <c r="B26" s="84" t="s">
        <v>188</v>
      </c>
    </row>
    <row r="27" spans="2:7" ht="2.25" customHeight="1"/>
    <row r="28" spans="2:7">
      <c r="B28" s="96" t="s">
        <v>62</v>
      </c>
      <c r="C28" s="148"/>
      <c r="D28" s="148"/>
      <c r="E28" s="98"/>
      <c r="F28" s="86"/>
      <c r="G28" s="87"/>
    </row>
    <row r="29" spans="2:7" ht="15" customHeight="1">
      <c r="B29" s="150" t="s">
        <v>160</v>
      </c>
      <c r="C29" s="149"/>
      <c r="D29" s="149" t="s">
        <v>40</v>
      </c>
      <c r="E29" s="147">
        <f>'SPS_Pumping Main'!E48</f>
        <v>3.5</v>
      </c>
      <c r="F29" s="147">
        <f>'SPS_Pumping Main'!F48</f>
        <v>5</v>
      </c>
      <c r="G29" s="152">
        <f>'SPS_Pumping Main'!G48</f>
        <v>19.5</v>
      </c>
    </row>
    <row r="30" spans="2:7" ht="15" customHeight="1">
      <c r="B30" s="142" t="s">
        <v>169</v>
      </c>
      <c r="C30" s="149"/>
      <c r="D30" s="149" t="s">
        <v>170</v>
      </c>
      <c r="E30" s="147">
        <f>'SPS_Pumping Main'!E49</f>
        <v>80</v>
      </c>
      <c r="F30" s="147">
        <f>'SPS_Pumping Main'!F49</f>
        <v>150</v>
      </c>
      <c r="G30" s="152">
        <f>'SPS_Pumping Main'!G49</f>
        <v>2120</v>
      </c>
    </row>
    <row r="31" spans="2:7" ht="15" customHeight="1">
      <c r="B31" s="142" t="s">
        <v>172</v>
      </c>
      <c r="C31" s="149"/>
      <c r="D31" s="149" t="s">
        <v>40</v>
      </c>
      <c r="E31" s="147">
        <f>'SPS_Pumping Main'!E50</f>
        <v>11.5</v>
      </c>
      <c r="F31" s="147">
        <f>'SPS_Pumping Main'!F50</f>
        <v>11</v>
      </c>
      <c r="G31" s="152">
        <f>'SPS_Pumping Main'!G50</f>
        <v>173</v>
      </c>
    </row>
    <row r="32" spans="2:7" ht="15" customHeight="1">
      <c r="B32" s="142" t="s">
        <v>187</v>
      </c>
      <c r="C32" s="149"/>
      <c r="D32" s="149" t="s">
        <v>46</v>
      </c>
      <c r="E32" s="147">
        <f>'SPS_Pumping Main'!E51</f>
        <v>6</v>
      </c>
      <c r="F32" s="147">
        <f>'SPS_Pumping Main'!F51</f>
        <v>11</v>
      </c>
      <c r="G32" s="152">
        <f>'SPS_Pumping Main'!G51</f>
        <v>144</v>
      </c>
    </row>
    <row r="33" spans="2:7" ht="15" customHeight="1">
      <c r="B33" s="142" t="s">
        <v>181</v>
      </c>
      <c r="C33" s="149"/>
      <c r="D33" s="149" t="s">
        <v>47</v>
      </c>
      <c r="E33" s="147">
        <f>'SPS_Pumping Main'!E52</f>
        <v>4</v>
      </c>
      <c r="F33" s="147">
        <f>'SPS_Pumping Main'!F52</f>
        <v>4</v>
      </c>
      <c r="G33" s="152">
        <f>'SPS_Pumping Main'!G52</f>
        <v>4</v>
      </c>
    </row>
    <row r="34" spans="2:7" ht="15" customHeight="1">
      <c r="B34" s="142" t="s">
        <v>182</v>
      </c>
      <c r="C34" s="149"/>
      <c r="D34" s="149" t="s">
        <v>46</v>
      </c>
      <c r="E34" s="147">
        <f>'SPS_Pumping Main'!E53</f>
        <v>24</v>
      </c>
      <c r="F34" s="147">
        <f>'SPS_Pumping Main'!F53</f>
        <v>44</v>
      </c>
      <c r="G34" s="152">
        <f>'SPS_Pumping Main'!G53</f>
        <v>576</v>
      </c>
    </row>
    <row r="35" spans="2:7" ht="15" customHeight="1">
      <c r="B35" s="142" t="s">
        <v>177</v>
      </c>
      <c r="C35" s="149"/>
      <c r="D35" s="149" t="s">
        <v>55</v>
      </c>
      <c r="E35" s="147">
        <f>'SPS_Pumping Main'!E54</f>
        <v>200</v>
      </c>
      <c r="F35" s="147">
        <f>'SPS_Pumping Main'!F54</f>
        <v>270</v>
      </c>
      <c r="G35" s="152">
        <f>'SPS_Pumping Main'!G54</f>
        <v>1100</v>
      </c>
    </row>
    <row r="36" spans="2:7" ht="15" customHeight="1">
      <c r="B36" s="145" t="s">
        <v>183</v>
      </c>
      <c r="C36" s="143"/>
      <c r="D36" s="143"/>
      <c r="E36" s="151" t="str">
        <f>'SPS_Pumping Main'!E55</f>
        <v>DI K7</v>
      </c>
      <c r="F36" s="151" t="str">
        <f>'SPS_Pumping Main'!F55</f>
        <v>DI K7</v>
      </c>
      <c r="G36" s="153" t="str">
        <f>'SPS_Pumping Main'!G55</f>
        <v>DI K7</v>
      </c>
    </row>
    <row r="37" spans="2:7">
      <c r="B37" s="84"/>
    </row>
    <row r="38" spans="2:7" ht="2.2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K32"/>
  <sheetViews>
    <sheetView workbookViewId="0">
      <selection activeCell="J12" sqref="J12"/>
    </sheetView>
  </sheetViews>
  <sheetFormatPr defaultRowHeight="13.5"/>
  <cols>
    <col min="1" max="1" width="9.140625" style="22"/>
    <col min="2" max="2" width="10.7109375" style="22" customWidth="1"/>
    <col min="3" max="3" width="11.85546875" style="22" customWidth="1"/>
    <col min="4" max="4" width="10.7109375" style="22" customWidth="1"/>
    <col min="5" max="5" width="10.85546875" style="22" customWidth="1"/>
    <col min="6" max="7" width="9.140625" style="22"/>
    <col min="8" max="8" width="9.42578125" style="22" bestFit="1" customWidth="1"/>
    <col min="9" max="16384" width="9.140625" style="22"/>
  </cols>
  <sheetData>
    <row r="1" spans="1:6">
      <c r="A1" s="21" t="s">
        <v>23</v>
      </c>
    </row>
    <row r="3" spans="1:6" s="32" customFormat="1" ht="27">
      <c r="A3" s="32" t="s">
        <v>2</v>
      </c>
      <c r="B3" s="32" t="s">
        <v>1</v>
      </c>
      <c r="C3" s="43" t="s">
        <v>24</v>
      </c>
      <c r="D3" s="43" t="s">
        <v>25</v>
      </c>
      <c r="E3" s="32" t="s">
        <v>4</v>
      </c>
      <c r="F3" s="32" t="s">
        <v>26</v>
      </c>
    </row>
    <row r="4" spans="1:6">
      <c r="A4" s="23">
        <v>1951</v>
      </c>
      <c r="B4" s="24">
        <f>'INPUT DATA'!D8</f>
        <v>49260</v>
      </c>
    </row>
    <row r="5" spans="1:6">
      <c r="A5" s="23">
        <v>1961</v>
      </c>
      <c r="B5" s="24">
        <f>'INPUT DATA'!D9</f>
        <v>55248</v>
      </c>
      <c r="C5" s="25">
        <f>((B5/B4)-1)</f>
        <v>0.12155907429963464</v>
      </c>
      <c r="D5" s="25">
        <f>(((B5/B4)^(1/10))-1)</f>
        <v>1.1538030252225218E-2</v>
      </c>
      <c r="F5" s="26"/>
    </row>
    <row r="6" spans="1:6">
      <c r="A6" s="23">
        <v>1971</v>
      </c>
      <c r="B6" s="24">
        <f>'INPUT DATA'!D10</f>
        <v>71266</v>
      </c>
      <c r="C6" s="25">
        <f t="shared" ref="C6:C9" si="0">((B6/B5)-1)</f>
        <v>0.28992904720532864</v>
      </c>
      <c r="D6" s="25">
        <f>(((B6/B5)^(1/10))-1)</f>
        <v>2.5785562475826751E-2</v>
      </c>
    </row>
    <row r="7" spans="1:6">
      <c r="A7" s="23">
        <v>1981</v>
      </c>
      <c r="B7" s="24">
        <f>'INPUT DATA'!D11</f>
        <v>102837</v>
      </c>
      <c r="C7" s="25">
        <f t="shared" si="0"/>
        <v>0.44300227317374352</v>
      </c>
      <c r="D7" s="25">
        <f t="shared" ref="D7:D9" si="1">(((B7/B6)^(1/10))-1)</f>
        <v>3.7353320721520422E-2</v>
      </c>
    </row>
    <row r="8" spans="1:6">
      <c r="A8" s="23">
        <v>1991</v>
      </c>
      <c r="B8" s="24">
        <f>'INPUT DATA'!D12</f>
        <v>146262</v>
      </c>
      <c r="C8" s="25">
        <f t="shared" si="0"/>
        <v>0.42227019457977177</v>
      </c>
      <c r="D8" s="25">
        <f t="shared" si="1"/>
        <v>3.5853197309968055E-2</v>
      </c>
    </row>
    <row r="9" spans="1:6">
      <c r="A9" s="23">
        <v>2001</v>
      </c>
      <c r="B9" s="24">
        <f>'INPUT DATA'!D13</f>
        <v>211893</v>
      </c>
      <c r="C9" s="25">
        <f t="shared" si="0"/>
        <v>0.44872215613077904</v>
      </c>
      <c r="D9" s="25">
        <f t="shared" si="1"/>
        <v>3.7763783148754504E-2</v>
      </c>
      <c r="E9" s="27">
        <f>'INPUT DATA'!E13</f>
        <v>31174</v>
      </c>
      <c r="F9" s="28">
        <f>B9/E9</f>
        <v>6.7971065631616092</v>
      </c>
    </row>
    <row r="10" spans="1:6">
      <c r="A10" s="23">
        <v>2011</v>
      </c>
      <c r="B10" s="29">
        <f>B28</f>
        <v>285016.54307375319</v>
      </c>
      <c r="C10" s="30">
        <f>((B10/B9)-1)</f>
        <v>0.34509654907785148</v>
      </c>
      <c r="D10" s="30">
        <f>(((B10/B9)^(1/10))-1)</f>
        <v>3.0090414459697623E-2</v>
      </c>
      <c r="E10" s="27">
        <f>B10/F10</f>
        <v>41932.039820952945</v>
      </c>
      <c r="F10" s="31">
        <f t="shared" ref="F10:F16" si="2">F9</f>
        <v>6.7971065631616092</v>
      </c>
    </row>
    <row r="11" spans="1:6">
      <c r="A11" s="23">
        <f>A10+5</f>
        <v>2016</v>
      </c>
      <c r="B11" s="29">
        <f>B10*((1+D12)^(A11-A10))</f>
        <v>330557.33424758981</v>
      </c>
      <c r="C11" s="30">
        <f>C12</f>
        <v>0.34509654907785148</v>
      </c>
      <c r="D11" s="30">
        <f>D12</f>
        <v>3.0090414459697623E-2</v>
      </c>
      <c r="E11" s="27">
        <f t="shared" ref="E11:E16" si="3">B11/F11</f>
        <v>48632.065890965554</v>
      </c>
      <c r="F11" s="31">
        <f t="shared" si="2"/>
        <v>6.7971065631616092</v>
      </c>
    </row>
    <row r="12" spans="1:6">
      <c r="A12" s="23">
        <v>2021</v>
      </c>
      <c r="B12" s="29">
        <f>B29</f>
        <v>383374.76851860422</v>
      </c>
      <c r="C12" s="30">
        <f>((B12/B10)-1)</f>
        <v>0.34509654907785148</v>
      </c>
      <c r="D12" s="30">
        <f>(((B12/B10)^(1/10))-1)</f>
        <v>3.0090414459697623E-2</v>
      </c>
      <c r="E12" s="27">
        <f t="shared" si="3"/>
        <v>56402.642058958852</v>
      </c>
      <c r="F12" s="31">
        <f t="shared" si="2"/>
        <v>6.7971065631616092</v>
      </c>
    </row>
    <row r="13" spans="1:6">
      <c r="A13" s="23">
        <f>A12+5</f>
        <v>2026</v>
      </c>
      <c r="B13" s="29">
        <f>B12*((1+D14)^(A13-A12))</f>
        <v>444631.52956880693</v>
      </c>
      <c r="C13" s="30">
        <f>C14</f>
        <v>0.34509654907785148</v>
      </c>
      <c r="D13" s="30">
        <f>D14</f>
        <v>3.0090414459697623E-2</v>
      </c>
      <c r="E13" s="27">
        <f t="shared" si="3"/>
        <v>65414.824004464455</v>
      </c>
      <c r="F13" s="31">
        <f t="shared" si="2"/>
        <v>6.7971065631616092</v>
      </c>
    </row>
    <row r="14" spans="1:6">
      <c r="A14" s="23">
        <v>2031</v>
      </c>
      <c r="B14" s="29">
        <f>B30</f>
        <v>515676.07813789468</v>
      </c>
      <c r="C14" s="30">
        <f>((B14/B12)-1)</f>
        <v>0.34509654907785148</v>
      </c>
      <c r="D14" s="30">
        <f>(((B14/B12)^(1/10))-1)</f>
        <v>3.0090414459697623E-2</v>
      </c>
      <c r="E14" s="27">
        <f t="shared" si="3"/>
        <v>75866.999192378833</v>
      </c>
      <c r="F14" s="31">
        <f t="shared" si="2"/>
        <v>6.7971065631616092</v>
      </c>
    </row>
    <row r="15" spans="1:6">
      <c r="A15" s="23">
        <f>A14+5</f>
        <v>2036</v>
      </c>
      <c r="B15" s="29">
        <f>B14*((1+D16)^(A15-A14))</f>
        <v>598072.33603420889</v>
      </c>
      <c r="C15" s="30">
        <f>C16</f>
        <v>0.34509654907785148</v>
      </c>
      <c r="D15" s="30">
        <f>D16</f>
        <v>3.0090414459697623E-2</v>
      </c>
      <c r="E15" s="27">
        <f t="shared" si="3"/>
        <v>87989.254026940136</v>
      </c>
      <c r="F15" s="31">
        <f t="shared" si="2"/>
        <v>6.7971065631616092</v>
      </c>
    </row>
    <row r="16" spans="1:6">
      <c r="A16" s="23">
        <v>2041</v>
      </c>
      <c r="B16" s="29">
        <f t="shared" ref="B16" si="4">B31</f>
        <v>693634.11314528261</v>
      </c>
      <c r="C16" s="30">
        <f>((B16/B14)-1)</f>
        <v>0.34509654907785148</v>
      </c>
      <c r="D16" s="30">
        <f>(((B16/B14)^(1/10))-1)</f>
        <v>3.0090414459697623E-2</v>
      </c>
      <c r="E16" s="27">
        <f t="shared" si="3"/>
        <v>102048.43880256091</v>
      </c>
      <c r="F16" s="31">
        <f t="shared" si="2"/>
        <v>6.7971065631616092</v>
      </c>
    </row>
    <row r="18" spans="1:11">
      <c r="A18" s="22" t="s">
        <v>10</v>
      </c>
    </row>
    <row r="19" spans="1:11" s="32" customFormat="1" ht="39.75" customHeight="1">
      <c r="C19" s="33" t="s">
        <v>27</v>
      </c>
      <c r="D19" s="33" t="s">
        <v>28</v>
      </c>
      <c r="E19" s="33" t="s">
        <v>29</v>
      </c>
      <c r="F19" s="33" t="s">
        <v>30</v>
      </c>
      <c r="G19" s="33" t="s">
        <v>14</v>
      </c>
      <c r="H19" s="33" t="s">
        <v>31</v>
      </c>
      <c r="I19" s="43" t="s">
        <v>61</v>
      </c>
    </row>
    <row r="20" spans="1:11">
      <c r="A20" s="22" t="s">
        <v>2</v>
      </c>
      <c r="B20" s="22" t="s">
        <v>1</v>
      </c>
    </row>
    <row r="21" spans="1:11">
      <c r="A21" s="23">
        <f t="shared" ref="A21:B26" si="5">A4</f>
        <v>1951</v>
      </c>
      <c r="B21" s="34">
        <f t="shared" si="5"/>
        <v>49260</v>
      </c>
      <c r="C21" s="23"/>
      <c r="D21" s="23"/>
      <c r="E21" s="23"/>
      <c r="F21" s="23"/>
    </row>
    <row r="22" spans="1:11">
      <c r="A22" s="23">
        <f t="shared" si="5"/>
        <v>1961</v>
      </c>
      <c r="B22" s="34">
        <f t="shared" si="5"/>
        <v>55248</v>
      </c>
      <c r="C22" s="44">
        <f>IF(B21=0, "-", B22-B21)</f>
        <v>5988</v>
      </c>
      <c r="D22" s="44"/>
      <c r="E22" s="45">
        <f>IF(B21=0, "-", ((B22/B21)-1))</f>
        <v>0.12155907429963464</v>
      </c>
      <c r="F22" s="46"/>
      <c r="G22" s="47"/>
      <c r="H22" s="47"/>
      <c r="I22" s="47"/>
    </row>
    <row r="23" spans="1:11">
      <c r="A23" s="23">
        <f t="shared" si="5"/>
        <v>1971</v>
      </c>
      <c r="B23" s="34">
        <f t="shared" si="5"/>
        <v>71266</v>
      </c>
      <c r="C23" s="44">
        <f>IF(B22=0, "-", B23-B22)</f>
        <v>16018</v>
      </c>
      <c r="D23" s="44">
        <f>(IF(C22="-", "-", C23-C22))</f>
        <v>10030</v>
      </c>
      <c r="E23" s="45">
        <f>IF(B22=0, "-", ((B23/B22)-1))</f>
        <v>0.28992904720532864</v>
      </c>
      <c r="F23" s="46"/>
      <c r="G23" s="47"/>
      <c r="H23" s="47"/>
      <c r="I23" s="47"/>
    </row>
    <row r="24" spans="1:11">
      <c r="A24" s="23">
        <f t="shared" si="5"/>
        <v>1981</v>
      </c>
      <c r="B24" s="34">
        <f t="shared" si="5"/>
        <v>102837</v>
      </c>
      <c r="C24" s="44">
        <f>IF(B23=0, "-", B24-B23)</f>
        <v>31571</v>
      </c>
      <c r="D24" s="44">
        <f>(IF(C23="-", "-", C24-C23))</f>
        <v>15553</v>
      </c>
      <c r="E24" s="45">
        <f>IF(B23=0, "-", ((B24/B23)-1))</f>
        <v>0.44300227317374352</v>
      </c>
      <c r="F24" s="46"/>
      <c r="G24" s="47"/>
      <c r="H24" s="47"/>
      <c r="I24" s="47"/>
    </row>
    <row r="25" spans="1:11">
      <c r="A25" s="23">
        <f t="shared" si="5"/>
        <v>1991</v>
      </c>
      <c r="B25" s="34">
        <f t="shared" si="5"/>
        <v>146262</v>
      </c>
      <c r="C25" s="44">
        <f>IF(B24=0, "-", B25-B24)</f>
        <v>43425</v>
      </c>
      <c r="D25" s="44">
        <f>(IF(C24="-", "-", C25-C24))</f>
        <v>11854</v>
      </c>
      <c r="E25" s="45">
        <f>IF(B24=0, "-", ((B25/B24)-1))</f>
        <v>0.42227019457977177</v>
      </c>
      <c r="F25" s="46"/>
      <c r="G25" s="47"/>
      <c r="H25" s="47"/>
      <c r="I25" s="47"/>
    </row>
    <row r="26" spans="1:11">
      <c r="A26" s="23">
        <f t="shared" si="5"/>
        <v>2001</v>
      </c>
      <c r="B26" s="34">
        <f t="shared" si="5"/>
        <v>211893</v>
      </c>
      <c r="C26" s="44">
        <f>IF(B25=0, "-", B26-B25)</f>
        <v>65631</v>
      </c>
      <c r="D26" s="44">
        <f>(IF(C25="-", "-", C26-C25))</f>
        <v>22206</v>
      </c>
      <c r="E26" s="45">
        <f>IF(B25=0, "-", ((B26/B25)-1))</f>
        <v>0.44872215613077904</v>
      </c>
      <c r="F26" s="46"/>
      <c r="G26" s="47"/>
      <c r="H26" s="47"/>
      <c r="I26" s="47"/>
    </row>
    <row r="27" spans="1:11">
      <c r="A27" s="23"/>
      <c r="B27" s="23"/>
      <c r="C27" s="48">
        <f>AVERAGE(C21:C26)</f>
        <v>32526.6</v>
      </c>
      <c r="D27" s="48">
        <f>AVERAGE(D21:D26)</f>
        <v>14910.75</v>
      </c>
      <c r="E27" s="49">
        <f>AVERAGE(E21:E26)</f>
        <v>0.34509654907785153</v>
      </c>
      <c r="F27" s="46"/>
      <c r="G27" s="47"/>
      <c r="H27" s="47"/>
      <c r="I27" s="47"/>
    </row>
    <row r="28" spans="1:11">
      <c r="A28" s="23">
        <v>2011</v>
      </c>
      <c r="B28" s="34">
        <f>IF($C$32=TRUE,C28,IF($D$32=TRUE,D28,IF($E$32=TRUE,E28,IF($F$32=TRUE,F28,IF($G$32=TRUE,G28,IF($H$32=TRUE,H28))))))</f>
        <v>285016.54307375319</v>
      </c>
      <c r="C28" s="50">
        <f>B26+C27</f>
        <v>244419.6</v>
      </c>
      <c r="D28" s="51">
        <f>B26+1*$C$27+(1*(1+1)*$D$27)/2</f>
        <v>259330.35</v>
      </c>
      <c r="E28" s="52">
        <f>B26*(1+E27)</f>
        <v>285016.54307375319</v>
      </c>
      <c r="F28" s="44">
        <f>AVERAGE(C28:E28)</f>
        <v>262922.16435791773</v>
      </c>
      <c r="G28" s="44">
        <f>'INPUT DATA'!K12</f>
        <v>310000</v>
      </c>
      <c r="H28" s="52">
        <f>B9*(1+I28)^10</f>
        <v>258296.38463594907</v>
      </c>
      <c r="I28" s="93">
        <f>'INPUT DATA'!K17</f>
        <v>0.02</v>
      </c>
      <c r="K28" s="112"/>
    </row>
    <row r="29" spans="1:11">
      <c r="A29" s="23">
        <v>2021</v>
      </c>
      <c r="B29" s="34">
        <f t="shared" ref="B29:B31" si="6">IF($C$32=TRUE,C29,IF($D$32=TRUE,D29,IF($E$32=TRUE,E29,IF($F$32=TRUE,F29,IF($G$32=TRUE,G29,IF($H$32=TRUE,H29))))))</f>
        <v>383374.76851860422</v>
      </c>
      <c r="C29" s="50">
        <f>C28+$C$27</f>
        <v>276946.2</v>
      </c>
      <c r="D29" s="51">
        <f>C28+1*$C$27+(1*(1+1)*$D$27)/2</f>
        <v>291856.95</v>
      </c>
      <c r="E29" s="52">
        <f>E28*(1+$E$27)</f>
        <v>383374.76851860422</v>
      </c>
      <c r="F29" s="44">
        <f>AVERAGE(C29:E29)</f>
        <v>317392.63950620143</v>
      </c>
      <c r="G29" s="44">
        <f>'INPUT DATA'!L12</f>
        <v>400000</v>
      </c>
      <c r="H29" s="52">
        <f>G28*(1+I29)^10</f>
        <v>374199.78522613051</v>
      </c>
      <c r="I29" s="93">
        <f>'INPUT DATA'!L17</f>
        <v>1.9E-2</v>
      </c>
    </row>
    <row r="30" spans="1:11">
      <c r="A30" s="23">
        <v>2031</v>
      </c>
      <c r="B30" s="34">
        <f t="shared" si="6"/>
        <v>515676.07813789468</v>
      </c>
      <c r="C30" s="50">
        <f>C29+$C$27</f>
        <v>309472.8</v>
      </c>
      <c r="D30" s="51">
        <f>C29+1*$C$27+(1*(1+1)*$D$27)/2</f>
        <v>324383.55</v>
      </c>
      <c r="E30" s="52">
        <f>E29*(1+$E$27)</f>
        <v>515676.07813789468</v>
      </c>
      <c r="F30" s="44">
        <f>AVERAGE(C30:E30)</f>
        <v>383177.47604596493</v>
      </c>
      <c r="G30" s="44">
        <f>'INPUT DATA'!M12</f>
        <v>500000</v>
      </c>
      <c r="H30" s="52">
        <f t="shared" ref="H30:H31" si="7">G29*(1+I30)^10</f>
        <v>478120.947339067</v>
      </c>
      <c r="I30" s="93">
        <f>'INPUT DATA'!M17</f>
        <v>1.7999999999999999E-2</v>
      </c>
    </row>
    <row r="31" spans="1:11">
      <c r="A31" s="23">
        <v>2041</v>
      </c>
      <c r="B31" s="34">
        <f t="shared" si="6"/>
        <v>693634.11314528261</v>
      </c>
      <c r="C31" s="50">
        <f>C30+$C$27</f>
        <v>341999.39999999997</v>
      </c>
      <c r="D31" s="51">
        <f>C30+1*$C$27+(1*(1+1)*$D$27)/2</f>
        <v>356910.14999999997</v>
      </c>
      <c r="E31" s="52">
        <f>E30*(1+$E$27)</f>
        <v>693634.11314528261</v>
      </c>
      <c r="F31" s="44">
        <f>AVERAGE(C31:E31)</f>
        <v>464181.22104842751</v>
      </c>
      <c r="G31" s="44">
        <f>'INPUT DATA'!N12</f>
        <v>600000</v>
      </c>
      <c r="H31" s="52">
        <f t="shared" si="7"/>
        <v>591806.23116620409</v>
      </c>
      <c r="I31" s="93">
        <f>'INPUT DATA'!N17</f>
        <v>1.7000000000000001E-2</v>
      </c>
    </row>
    <row r="32" spans="1:11">
      <c r="C32" s="35" t="b">
        <f>EXACT(C19,'INPUT DATA'!$K$8)</f>
        <v>0</v>
      </c>
      <c r="D32" s="35" t="b">
        <f>EXACT(D19,'INPUT DATA'!$K$8)</f>
        <v>0</v>
      </c>
      <c r="E32" s="35" t="b">
        <f>EXACT(E19,'INPUT DATA'!$K$8)</f>
        <v>1</v>
      </c>
      <c r="F32" s="35" t="b">
        <f>EXACT(F19,'INPUT DATA'!$K$8)</f>
        <v>0</v>
      </c>
      <c r="G32" s="35" t="b">
        <f>EXACT(G19,'INPUT DATA'!$K$8)</f>
        <v>0</v>
      </c>
      <c r="H32" s="35" t="b">
        <f>EXACT(H19,'INPUT DATA'!$K$8)</f>
        <v>0</v>
      </c>
      <c r="I32" s="25"/>
    </row>
  </sheetData>
  <conditionalFormatting sqref="C32:H32">
    <cfRule type="expression" dxfId="17" priority="17" stopIfTrue="1">
      <formula>"""Y"""</formula>
    </cfRule>
    <cfRule type="expression" dxfId="16" priority="18" stopIfTrue="1">
      <formula>"""N"""</formula>
    </cfRule>
  </conditionalFormatting>
  <conditionalFormatting sqref="C32:H32">
    <cfRule type="containsText" dxfId="15" priority="16" operator="containsText" text="Y">
      <formula>NOT(ISERROR(SEARCH("Y",C32)))</formula>
    </cfRule>
  </conditionalFormatting>
  <conditionalFormatting sqref="G32">
    <cfRule type="expression" dxfId="14" priority="14" stopIfTrue="1">
      <formula>"""Y"""</formula>
    </cfRule>
    <cfRule type="expression" dxfId="13" priority="15" stopIfTrue="1">
      <formula>"""N"""</formula>
    </cfRule>
  </conditionalFormatting>
  <conditionalFormatting sqref="G32">
    <cfRule type="containsText" dxfId="12" priority="13" operator="containsText" text="Y">
      <formula>NOT(ISERROR(SEARCH("Y",G32)))</formula>
    </cfRule>
  </conditionalFormatting>
  <conditionalFormatting sqref="G32">
    <cfRule type="expression" dxfId="11" priority="11" stopIfTrue="1">
      <formula>"""Y"""</formula>
    </cfRule>
    <cfRule type="expression" dxfId="10" priority="12" stopIfTrue="1">
      <formula>"""N"""</formula>
    </cfRule>
  </conditionalFormatting>
  <conditionalFormatting sqref="G32">
    <cfRule type="containsText" dxfId="9" priority="10" operator="containsText" text="Y">
      <formula>NOT(ISERROR(SEARCH("Y",G32)))</formula>
    </cfRule>
  </conditionalFormatting>
  <conditionalFormatting sqref="C32:H32">
    <cfRule type="cellIs" dxfId="8" priority="9" operator="equal">
      <formula>"""TRUE"""</formula>
    </cfRule>
  </conditionalFormatting>
  <conditionalFormatting sqref="H32">
    <cfRule type="expression" dxfId="7" priority="7" stopIfTrue="1">
      <formula>"""Y"""</formula>
    </cfRule>
    <cfRule type="expression" dxfId="6" priority="8" stopIfTrue="1">
      <formula>"""N"""</formula>
    </cfRule>
  </conditionalFormatting>
  <conditionalFormatting sqref="H32">
    <cfRule type="containsText" dxfId="5" priority="6" operator="containsText" text="Y">
      <formula>NOT(ISERROR(SEARCH("Y",H32)))</formula>
    </cfRule>
  </conditionalFormatting>
  <conditionalFormatting sqref="H32">
    <cfRule type="expression" dxfId="4" priority="4" stopIfTrue="1">
      <formula>"""Y"""</formula>
    </cfRule>
    <cfRule type="expression" dxfId="3" priority="5" stopIfTrue="1">
      <formula>"""N"""</formula>
    </cfRule>
  </conditionalFormatting>
  <conditionalFormatting sqref="H32">
    <cfRule type="containsText" dxfId="2" priority="3" operator="containsText" text="Y">
      <formula>NOT(ISERROR(SEARCH("Y",H32)))</formula>
    </cfRule>
  </conditionalFormatting>
  <conditionalFormatting sqref="H32">
    <cfRule type="cellIs" dxfId="1" priority="2" operator="equal">
      <formula>"""TRUE"""</formula>
    </cfRule>
  </conditionalFormatting>
  <conditionalFormatting sqref="C32:H32">
    <cfRule type="containsText" dxfId="0" priority="1" operator="containsText" text="TRUE">
      <formula>NOT(ISERROR(SEARCH("TRUE",C32)))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2:I22"/>
  <sheetViews>
    <sheetView workbookViewId="0">
      <selection activeCell="J12" sqref="J12"/>
    </sheetView>
  </sheetViews>
  <sheetFormatPr defaultRowHeight="12.75"/>
  <cols>
    <col min="1" max="1" width="4.85546875" style="53" customWidth="1"/>
    <col min="2" max="2" width="8.140625" style="53" customWidth="1"/>
    <col min="3" max="3" width="4.85546875" style="53" customWidth="1"/>
    <col min="4" max="4" width="9.28515625" style="53" customWidth="1"/>
    <col min="5" max="5" width="10.42578125" style="53" customWidth="1"/>
    <col min="6" max="6" width="10" style="53" customWidth="1"/>
    <col min="7" max="7" width="12.28515625" style="53" customWidth="1"/>
    <col min="8" max="8" width="7" style="53" customWidth="1"/>
    <col min="9" max="9" width="10" style="53" customWidth="1"/>
    <col min="10" max="16384" width="9.140625" style="53"/>
  </cols>
  <sheetData>
    <row r="2" spans="1:8">
      <c r="A2" s="54" t="s">
        <v>95</v>
      </c>
      <c r="B2" s="54"/>
      <c r="C2" s="54"/>
      <c r="D2" s="54"/>
      <c r="E2" s="54"/>
      <c r="F2" s="54"/>
      <c r="G2" s="54"/>
      <c r="H2" s="54"/>
    </row>
    <row r="3" spans="1:8">
      <c r="A3" s="54"/>
      <c r="B3" s="54"/>
      <c r="C3" s="54"/>
      <c r="D3" s="54"/>
      <c r="E3" s="54"/>
      <c r="F3" s="54"/>
      <c r="G3" s="54"/>
      <c r="H3" s="54"/>
    </row>
    <row r="4" spans="1:8">
      <c r="A4" s="62" t="s">
        <v>2</v>
      </c>
      <c r="B4" s="63" t="s">
        <v>1</v>
      </c>
      <c r="C4" s="63" t="s">
        <v>33</v>
      </c>
      <c r="D4" s="63" t="s">
        <v>96</v>
      </c>
      <c r="E4" s="63" t="s">
        <v>97</v>
      </c>
      <c r="F4" s="63" t="s">
        <v>99</v>
      </c>
      <c r="G4" s="63" t="s">
        <v>100</v>
      </c>
      <c r="H4" s="73" t="s">
        <v>34</v>
      </c>
    </row>
    <row r="5" spans="1:8">
      <c r="A5" s="56"/>
      <c r="B5" s="57"/>
      <c r="C5" s="57"/>
      <c r="D5" s="57" t="s">
        <v>8</v>
      </c>
      <c r="E5" s="57" t="s">
        <v>8</v>
      </c>
      <c r="F5" s="57" t="s">
        <v>8</v>
      </c>
      <c r="G5" s="57" t="s">
        <v>8</v>
      </c>
      <c r="H5" s="58" t="s">
        <v>8</v>
      </c>
    </row>
    <row r="6" spans="1:8">
      <c r="A6" s="71">
        <v>2011</v>
      </c>
      <c r="B6" s="75">
        <f>Pop_Projection!B10</f>
        <v>285016.54307375319</v>
      </c>
      <c r="C6" s="75">
        <f>IF(B6&lt;1000000,135,150)</f>
        <v>135</v>
      </c>
      <c r="D6" s="75">
        <f>B6*C6/1000000</f>
        <v>38.477233314956678</v>
      </c>
      <c r="E6" s="77">
        <f>D6*'INPUT DATA'!$F$29</f>
        <v>30.781786651965344</v>
      </c>
      <c r="F6" s="77">
        <f>IF('INPUT DATA'!$F$34&gt;10,0,(('INPUT DATA'!$F$33/1000000)*'INPUT DATA'!$F$35))</f>
        <v>0</v>
      </c>
      <c r="G6" s="77">
        <f>'INPUT DATA'!$F$32</f>
        <v>5</v>
      </c>
      <c r="H6" s="78">
        <f>E6+F6+G6</f>
        <v>35.781786651965348</v>
      </c>
    </row>
    <row r="7" spans="1:8">
      <c r="A7" s="71">
        <v>2016</v>
      </c>
      <c r="B7" s="75">
        <f>Pop_Projection!B11</f>
        <v>330557.33424758981</v>
      </c>
      <c r="C7" s="75">
        <f t="shared" ref="C7:C12" si="0">IF(B7&lt;1000000,135,150)</f>
        <v>135</v>
      </c>
      <c r="D7" s="75">
        <f t="shared" ref="D7:D12" si="1">B7*C7/1000000</f>
        <v>44.625240123424625</v>
      </c>
      <c r="E7" s="77">
        <f>D7*'INPUT DATA'!$F$29</f>
        <v>35.700192098739699</v>
      </c>
      <c r="F7" s="77">
        <f>IF('INPUT DATA'!$F$34&gt;10,0,(('INPUT DATA'!$F$33/1000000)*'INPUT DATA'!$F$35))</f>
        <v>0</v>
      </c>
      <c r="G7" s="77">
        <f>'INPUT DATA'!$F$32</f>
        <v>5</v>
      </c>
      <c r="H7" s="78">
        <f t="shared" ref="H7:H12" si="2">E7+F7+G7</f>
        <v>40.700192098739699</v>
      </c>
    </row>
    <row r="8" spans="1:8">
      <c r="A8" s="71">
        <v>2021</v>
      </c>
      <c r="B8" s="75">
        <f>Pop_Projection!B12</f>
        <v>383374.76851860422</v>
      </c>
      <c r="C8" s="75">
        <f t="shared" si="0"/>
        <v>135</v>
      </c>
      <c r="D8" s="75">
        <f t="shared" si="1"/>
        <v>51.75559375001157</v>
      </c>
      <c r="E8" s="77">
        <f>D8*'INPUT DATA'!$F$29</f>
        <v>41.404475000009256</v>
      </c>
      <c r="F8" s="77">
        <f>IF('INPUT DATA'!$F$34&gt;10,0,(('INPUT DATA'!$F$33/1000000)*'INPUT DATA'!$F$35))</f>
        <v>0</v>
      </c>
      <c r="G8" s="77">
        <f>'INPUT DATA'!$F$32</f>
        <v>5</v>
      </c>
      <c r="H8" s="78">
        <f t="shared" si="2"/>
        <v>46.404475000009256</v>
      </c>
    </row>
    <row r="9" spans="1:8">
      <c r="A9" s="71">
        <v>2026</v>
      </c>
      <c r="B9" s="75">
        <f>Pop_Projection!B13</f>
        <v>444631.52956880693</v>
      </c>
      <c r="C9" s="75">
        <f t="shared" si="0"/>
        <v>135</v>
      </c>
      <c r="D9" s="75">
        <f t="shared" si="1"/>
        <v>60.025256491788937</v>
      </c>
      <c r="E9" s="77">
        <f>D9*'INPUT DATA'!$F$29</f>
        <v>48.020205193431153</v>
      </c>
      <c r="F9" s="77">
        <f>IF('INPUT DATA'!$F$34&gt;10,0,(('INPUT DATA'!$F$33/1000000)*'INPUT DATA'!$F$35))</f>
        <v>0</v>
      </c>
      <c r="G9" s="77">
        <f>'INPUT DATA'!$F$32</f>
        <v>5</v>
      </c>
      <c r="H9" s="78">
        <f t="shared" si="2"/>
        <v>53.020205193431153</v>
      </c>
    </row>
    <row r="10" spans="1:8">
      <c r="A10" s="71">
        <v>2031</v>
      </c>
      <c r="B10" s="75">
        <f>Pop_Projection!B14</f>
        <v>515676.07813789468</v>
      </c>
      <c r="C10" s="75">
        <f t="shared" si="0"/>
        <v>135</v>
      </c>
      <c r="D10" s="75">
        <f t="shared" si="1"/>
        <v>69.616270548615788</v>
      </c>
      <c r="E10" s="77">
        <f>D10*'INPUT DATA'!$F$29</f>
        <v>55.693016438892634</v>
      </c>
      <c r="F10" s="77">
        <f>IF('INPUT DATA'!$F$34&gt;10,0,(('INPUT DATA'!$F$33/1000000)*'INPUT DATA'!$F$35))</f>
        <v>0</v>
      </c>
      <c r="G10" s="77">
        <f>'INPUT DATA'!$F$32</f>
        <v>5</v>
      </c>
      <c r="H10" s="78">
        <f t="shared" si="2"/>
        <v>60.693016438892634</v>
      </c>
    </row>
    <row r="11" spans="1:8">
      <c r="A11" s="71">
        <v>2036</v>
      </c>
      <c r="B11" s="75">
        <f>Pop_Projection!B15</f>
        <v>598072.33603420889</v>
      </c>
      <c r="C11" s="75">
        <f t="shared" si="0"/>
        <v>135</v>
      </c>
      <c r="D11" s="75">
        <f t="shared" si="1"/>
        <v>80.739765364618194</v>
      </c>
      <c r="E11" s="77">
        <f>D11*'INPUT DATA'!$F$29</f>
        <v>64.591812291694552</v>
      </c>
      <c r="F11" s="77">
        <f>IF('INPUT DATA'!$F$34&gt;10,0,(('INPUT DATA'!$F$33/1000000)*'INPUT DATA'!$F$35))</f>
        <v>0</v>
      </c>
      <c r="G11" s="77">
        <f>'INPUT DATA'!$F$32</f>
        <v>5</v>
      </c>
      <c r="H11" s="78">
        <f t="shared" si="2"/>
        <v>69.591812291694552</v>
      </c>
    </row>
    <row r="12" spans="1:8">
      <c r="A12" s="72">
        <v>2041</v>
      </c>
      <c r="B12" s="76">
        <f>Pop_Projection!B16</f>
        <v>693634.11314528261</v>
      </c>
      <c r="C12" s="76">
        <f t="shared" si="0"/>
        <v>135</v>
      </c>
      <c r="D12" s="76">
        <f t="shared" si="1"/>
        <v>93.640605274613151</v>
      </c>
      <c r="E12" s="79">
        <f>D12*'INPUT DATA'!$F$29</f>
        <v>74.912484219690526</v>
      </c>
      <c r="F12" s="77">
        <f>IF('INPUT DATA'!$F$34&gt;10,0,(('INPUT DATA'!$F$33/1000000)*'INPUT DATA'!$F$35))</f>
        <v>0</v>
      </c>
      <c r="G12" s="79">
        <f>'INPUT DATA'!$F$32</f>
        <v>5</v>
      </c>
      <c r="H12" s="80">
        <f t="shared" si="2"/>
        <v>79.912484219690526</v>
      </c>
    </row>
    <row r="14" spans="1:8">
      <c r="A14" s="54" t="s">
        <v>101</v>
      </c>
    </row>
    <row r="15" spans="1:8" ht="14.25" customHeight="1">
      <c r="A15" s="54"/>
    </row>
    <row r="16" spans="1:8">
      <c r="A16" s="74" t="s">
        <v>57</v>
      </c>
      <c r="B16" s="63"/>
      <c r="C16" s="63"/>
      <c r="D16" s="63"/>
      <c r="E16" s="63"/>
      <c r="F16" s="63"/>
      <c r="G16" s="63"/>
      <c r="H16" s="63"/>
    </row>
    <row r="17" spans="1:9">
      <c r="A17" s="64" t="s">
        <v>102</v>
      </c>
      <c r="B17" s="65"/>
      <c r="C17" s="65"/>
      <c r="D17" s="65"/>
      <c r="E17" s="65"/>
      <c r="F17" s="65"/>
      <c r="G17" s="59" t="s">
        <v>8</v>
      </c>
      <c r="H17" s="66">
        <f>H12</f>
        <v>79.912484219690526</v>
      </c>
    </row>
    <row r="18" spans="1:9">
      <c r="A18" s="64" t="s">
        <v>104</v>
      </c>
      <c r="B18" s="65"/>
      <c r="C18" s="65"/>
      <c r="D18" s="65"/>
      <c r="E18" s="65"/>
      <c r="F18" s="65"/>
      <c r="G18" s="59" t="s">
        <v>8</v>
      </c>
      <c r="H18" s="66">
        <f>'INPUT DATA'!F23</f>
        <v>0</v>
      </c>
    </row>
    <row r="19" spans="1:9">
      <c r="A19" s="64" t="s">
        <v>105</v>
      </c>
      <c r="B19" s="65"/>
      <c r="C19" s="65"/>
      <c r="D19" s="65"/>
      <c r="E19" s="65"/>
      <c r="F19" s="65"/>
      <c r="G19" s="59" t="s">
        <v>8</v>
      </c>
      <c r="H19" s="66">
        <f>H17-H18</f>
        <v>79.912484219690526</v>
      </c>
    </row>
    <row r="20" spans="1:9">
      <c r="A20" s="64" t="s">
        <v>103</v>
      </c>
      <c r="B20" s="65"/>
      <c r="C20" s="65"/>
      <c r="D20" s="65"/>
      <c r="E20" s="65"/>
      <c r="F20" s="65"/>
      <c r="G20" s="59" t="s">
        <v>63</v>
      </c>
      <c r="H20" s="66">
        <f>H19*'INPUT DATA'!F30</f>
        <v>15.982496843938106</v>
      </c>
      <c r="I20" s="95"/>
    </row>
    <row r="21" spans="1:9">
      <c r="A21" s="64" t="s">
        <v>113</v>
      </c>
      <c r="B21" s="65"/>
      <c r="C21" s="65"/>
      <c r="D21" s="65"/>
      <c r="E21" s="65"/>
      <c r="F21" s="65"/>
      <c r="G21" s="59" t="s">
        <v>110</v>
      </c>
      <c r="H21" s="66">
        <f>'INPUT DATA'!F31</f>
        <v>2</v>
      </c>
    </row>
    <row r="22" spans="1:9">
      <c r="A22" s="68" t="s">
        <v>111</v>
      </c>
      <c r="B22" s="69"/>
      <c r="C22" s="69"/>
      <c r="D22" s="69"/>
      <c r="E22" s="69"/>
      <c r="F22" s="69"/>
      <c r="G22" s="60" t="s">
        <v>8</v>
      </c>
      <c r="H22" s="70">
        <f>H19/H21</f>
        <v>39.956242109845263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B2:G55"/>
  <sheetViews>
    <sheetView workbookViewId="0">
      <selection activeCell="I22" sqref="I22"/>
    </sheetView>
  </sheetViews>
  <sheetFormatPr defaultRowHeight="12.75"/>
  <cols>
    <col min="1" max="1" width="3.42578125" style="53" customWidth="1"/>
    <col min="2" max="2" width="4" style="53" customWidth="1"/>
    <col min="3" max="3" width="35.28515625" style="53" customWidth="1"/>
    <col min="4" max="4" width="9.42578125" style="53" bestFit="1" customWidth="1"/>
    <col min="5" max="5" width="8.42578125" style="53" customWidth="1"/>
    <col min="6" max="6" width="9.140625" style="53"/>
    <col min="7" max="7" width="10" style="53" bestFit="1" customWidth="1"/>
    <col min="8" max="16384" width="9.140625" style="53"/>
  </cols>
  <sheetData>
    <row r="2" spans="2:7">
      <c r="B2" s="54" t="s">
        <v>125</v>
      </c>
      <c r="C2" s="54"/>
      <c r="D2" s="54"/>
      <c r="E2" s="54"/>
      <c r="F2" s="54"/>
    </row>
    <row r="3" spans="2:7" ht="3" customHeight="1">
      <c r="B3" s="61"/>
      <c r="C3" s="61"/>
      <c r="D3" s="61"/>
      <c r="E3" s="61"/>
      <c r="F3" s="61"/>
    </row>
    <row r="5" spans="2:7" ht="16.5" customHeight="1">
      <c r="B5" s="114" t="s">
        <v>126</v>
      </c>
      <c r="C5" s="114" t="s">
        <v>127</v>
      </c>
      <c r="D5" s="114" t="s">
        <v>44</v>
      </c>
      <c r="E5" s="115" t="s">
        <v>128</v>
      </c>
      <c r="F5" s="115" t="s">
        <v>129</v>
      </c>
      <c r="G5" s="115" t="s">
        <v>130</v>
      </c>
    </row>
    <row r="6" spans="2:7">
      <c r="B6" s="116" t="s">
        <v>131</v>
      </c>
      <c r="C6" s="234" t="s">
        <v>132</v>
      </c>
      <c r="D6" s="235"/>
      <c r="E6" s="235"/>
      <c r="F6" s="235"/>
      <c r="G6" s="236"/>
    </row>
    <row r="7" spans="2:7" ht="15.75" customHeight="1">
      <c r="B7" s="117">
        <v>1</v>
      </c>
      <c r="C7" s="118" t="s">
        <v>133</v>
      </c>
      <c r="D7" s="119" t="s">
        <v>134</v>
      </c>
      <c r="E7" s="120">
        <f>43.7</f>
        <v>43.7</v>
      </c>
      <c r="F7" s="120">
        <f>81.69</f>
        <v>81.69</v>
      </c>
      <c r="G7" s="120">
        <f>1173.11</f>
        <v>1173.1099999999999</v>
      </c>
    </row>
    <row r="8" spans="2:7">
      <c r="B8" s="117">
        <v>2</v>
      </c>
      <c r="C8" s="117" t="s">
        <v>135</v>
      </c>
      <c r="D8" s="119"/>
      <c r="E8" s="120">
        <f>3</f>
        <v>3</v>
      </c>
      <c r="F8" s="120">
        <f>2.5</f>
        <v>2.5</v>
      </c>
      <c r="G8" s="120">
        <v>2.25</v>
      </c>
    </row>
    <row r="9" spans="2:7" ht="15.75" customHeight="1">
      <c r="B9" s="117">
        <v>3</v>
      </c>
      <c r="C9" s="117" t="s">
        <v>136</v>
      </c>
      <c r="D9" s="119" t="s">
        <v>40</v>
      </c>
      <c r="E9" s="120">
        <v>2.2000000000000002</v>
      </c>
      <c r="F9" s="120">
        <v>2.2000000000000002</v>
      </c>
      <c r="G9" s="120">
        <v>2.2000000000000002</v>
      </c>
    </row>
    <row r="10" spans="2:7">
      <c r="B10" s="117">
        <v>9</v>
      </c>
      <c r="C10" s="117" t="s">
        <v>137</v>
      </c>
      <c r="D10" s="119" t="s">
        <v>40</v>
      </c>
      <c r="E10" s="120">
        <v>207.5</v>
      </c>
      <c r="F10" s="120">
        <v>207.5</v>
      </c>
      <c r="G10" s="120">
        <v>202.76</v>
      </c>
    </row>
    <row r="11" spans="2:7">
      <c r="B11" s="117">
        <v>10</v>
      </c>
      <c r="C11" s="117" t="s">
        <v>138</v>
      </c>
      <c r="D11" s="119" t="s">
        <v>40</v>
      </c>
      <c r="E11" s="120">
        <v>211</v>
      </c>
      <c r="F11" s="120">
        <v>211</v>
      </c>
      <c r="G11" s="120">
        <v>207</v>
      </c>
    </row>
    <row r="12" spans="2:7" ht="14.25" customHeight="1">
      <c r="B12" s="117">
        <v>11</v>
      </c>
      <c r="C12" s="117" t="s">
        <v>139</v>
      </c>
      <c r="D12" s="119" t="s">
        <v>40</v>
      </c>
      <c r="E12" s="120">
        <v>150</v>
      </c>
      <c r="F12" s="120">
        <v>150</v>
      </c>
      <c r="G12" s="120">
        <v>600</v>
      </c>
    </row>
    <row r="13" spans="2:7" ht="13.5" customHeight="1">
      <c r="B13" s="117">
        <v>12</v>
      </c>
      <c r="C13" s="117" t="s">
        <v>140</v>
      </c>
      <c r="D13" s="119" t="s">
        <v>40</v>
      </c>
      <c r="E13" s="120">
        <v>7</v>
      </c>
      <c r="F13" s="120">
        <v>7</v>
      </c>
      <c r="G13" s="120">
        <v>7.5</v>
      </c>
    </row>
    <row r="14" spans="2:7">
      <c r="B14" s="116" t="s">
        <v>141</v>
      </c>
      <c r="C14" s="237" t="s">
        <v>142</v>
      </c>
      <c r="D14" s="238"/>
      <c r="E14" s="238"/>
      <c r="F14" s="238"/>
      <c r="G14" s="239"/>
    </row>
    <row r="15" spans="2:7" ht="12" customHeight="1">
      <c r="B15" s="117">
        <v>4</v>
      </c>
      <c r="C15" s="117" t="s">
        <v>143</v>
      </c>
      <c r="D15" s="119" t="s">
        <v>144</v>
      </c>
      <c r="E15" s="121">
        <v>20</v>
      </c>
      <c r="F15" s="121">
        <v>20</v>
      </c>
      <c r="G15" s="121">
        <v>20</v>
      </c>
    </row>
    <row r="16" spans="2:7" ht="14.25" customHeight="1">
      <c r="B16" s="117">
        <v>5</v>
      </c>
      <c r="C16" s="117" t="s">
        <v>145</v>
      </c>
      <c r="D16" s="119" t="s">
        <v>146</v>
      </c>
      <c r="E16" s="121">
        <v>1.2</v>
      </c>
      <c r="F16" s="121">
        <v>1.2</v>
      </c>
      <c r="G16" s="121">
        <v>1.2</v>
      </c>
    </row>
    <row r="17" spans="2:7">
      <c r="B17" s="117">
        <v>6</v>
      </c>
      <c r="C17" s="117" t="s">
        <v>147</v>
      </c>
      <c r="D17" s="119" t="s">
        <v>146</v>
      </c>
      <c r="E17" s="121">
        <v>0.8</v>
      </c>
      <c r="F17" s="121">
        <v>0.8</v>
      </c>
      <c r="G17" s="121">
        <v>0.8</v>
      </c>
    </row>
    <row r="18" spans="2:7">
      <c r="B18" s="117">
        <v>7</v>
      </c>
      <c r="C18" s="117" t="s">
        <v>148</v>
      </c>
      <c r="D18" s="119" t="s">
        <v>149</v>
      </c>
      <c r="E18" s="122">
        <v>2</v>
      </c>
      <c r="F18" s="122">
        <v>2</v>
      </c>
      <c r="G18" s="122">
        <v>2</v>
      </c>
    </row>
    <row r="19" spans="2:7">
      <c r="B19" s="117">
        <v>8</v>
      </c>
      <c r="C19" s="117" t="s">
        <v>150</v>
      </c>
      <c r="D19" s="119"/>
      <c r="E19" s="123">
        <v>1</v>
      </c>
      <c r="F19" s="123">
        <v>1</v>
      </c>
      <c r="G19" s="123">
        <v>1</v>
      </c>
    </row>
    <row r="20" spans="2:7" ht="14.25" customHeight="1">
      <c r="B20" s="117">
        <v>13</v>
      </c>
      <c r="C20" s="117" t="s">
        <v>151</v>
      </c>
      <c r="D20" s="124"/>
      <c r="E20" s="125" t="s">
        <v>35</v>
      </c>
      <c r="F20" s="125" t="s">
        <v>35</v>
      </c>
      <c r="G20" s="125" t="s">
        <v>35</v>
      </c>
    </row>
    <row r="21" spans="2:7" ht="12.75" customHeight="1">
      <c r="B21" s="116" t="s">
        <v>39</v>
      </c>
      <c r="C21" s="126" t="s">
        <v>152</v>
      </c>
      <c r="D21" s="124"/>
      <c r="E21" s="127"/>
      <c r="F21" s="127"/>
      <c r="G21" s="127"/>
    </row>
    <row r="22" spans="2:7" ht="15.75" customHeight="1">
      <c r="B22" s="117">
        <v>1</v>
      </c>
      <c r="C22" s="117" t="s">
        <v>133</v>
      </c>
      <c r="D22" s="119" t="s">
        <v>153</v>
      </c>
      <c r="E22" s="128">
        <f>E7*24*3600</f>
        <v>3775680.0000000005</v>
      </c>
      <c r="F22" s="128">
        <f>F7*24*3600</f>
        <v>7058016</v>
      </c>
      <c r="G22" s="128">
        <f>G7*24*3600</f>
        <v>101356704</v>
      </c>
    </row>
    <row r="23" spans="2:7" ht="15" customHeight="1">
      <c r="B23" s="117">
        <v>2</v>
      </c>
      <c r="C23" s="118" t="s">
        <v>154</v>
      </c>
      <c r="D23" s="119" t="s">
        <v>153</v>
      </c>
      <c r="E23" s="129">
        <f>E22/E8</f>
        <v>1258560.0000000002</v>
      </c>
      <c r="F23" s="129">
        <f>F22/F8</f>
        <v>2823206.4</v>
      </c>
      <c r="G23" s="129">
        <f>G22/G8</f>
        <v>45047424</v>
      </c>
    </row>
    <row r="24" spans="2:7" ht="15.75" customHeight="1">
      <c r="B24" s="117">
        <v>3</v>
      </c>
      <c r="C24" s="118" t="s">
        <v>154</v>
      </c>
      <c r="D24" s="119" t="s">
        <v>134</v>
      </c>
      <c r="E24" s="130">
        <f>+E23/(24*3600)</f>
        <v>14.56666666666667</v>
      </c>
      <c r="F24" s="130">
        <f>+F23/(24*3600)</f>
        <v>32.676000000000002</v>
      </c>
      <c r="G24" s="130">
        <f>+G23/(24*3600)</f>
        <v>521.38222222222225</v>
      </c>
    </row>
    <row r="25" spans="2:7" ht="16.5" customHeight="1">
      <c r="B25" s="117"/>
      <c r="C25" s="117" t="s">
        <v>155</v>
      </c>
      <c r="D25" s="119"/>
      <c r="E25" s="130"/>
      <c r="F25" s="130"/>
      <c r="G25" s="130"/>
    </row>
    <row r="26" spans="2:7" ht="15.75" customHeight="1">
      <c r="B26" s="117">
        <v>5</v>
      </c>
      <c r="C26" s="117" t="s">
        <v>156</v>
      </c>
      <c r="D26" s="119" t="s">
        <v>157</v>
      </c>
      <c r="E26" s="130">
        <f>(E23/(24*60))*(E15/1000)</f>
        <v>17.480000000000004</v>
      </c>
      <c r="F26" s="130">
        <f>(F23/(24*60))*(F15/1000)</f>
        <v>39.211199999999998</v>
      </c>
      <c r="G26" s="130">
        <f>(G23/(24*60))*(G15/1000)</f>
        <v>625.6586666666667</v>
      </c>
    </row>
    <row r="27" spans="2:7" ht="14.25" customHeight="1">
      <c r="B27" s="117">
        <v>7</v>
      </c>
      <c r="C27" s="117" t="s">
        <v>158</v>
      </c>
      <c r="D27" s="119" t="s">
        <v>159</v>
      </c>
      <c r="E27" s="130">
        <f>+E26/E9</f>
        <v>7.9454545454545462</v>
      </c>
      <c r="F27" s="130">
        <f>+F26/F9</f>
        <v>17.823272727272727</v>
      </c>
      <c r="G27" s="130">
        <f>+G26/G9</f>
        <v>284.39030303030302</v>
      </c>
    </row>
    <row r="28" spans="2:7" ht="13.5" customHeight="1">
      <c r="B28" s="117">
        <v>8</v>
      </c>
      <c r="C28" s="117" t="s">
        <v>160</v>
      </c>
      <c r="D28" s="119" t="s">
        <v>40</v>
      </c>
      <c r="E28" s="130">
        <f>+SQRT(E27*4/PI())</f>
        <v>3.1806393898347665</v>
      </c>
      <c r="F28" s="130">
        <f>+SQRT(F27*4/PI())</f>
        <v>4.7637480677470094</v>
      </c>
      <c r="G28" s="130">
        <f>+SQRT(G27*4/PI())</f>
        <v>19.028845996470675</v>
      </c>
    </row>
    <row r="29" spans="2:7" ht="17.25" customHeight="1">
      <c r="B29" s="117">
        <v>9</v>
      </c>
      <c r="C29" s="117" t="s">
        <v>161</v>
      </c>
      <c r="D29" s="119" t="s">
        <v>40</v>
      </c>
      <c r="E29" s="130">
        <f>+CEILING(E28,0.5)</f>
        <v>3.5</v>
      </c>
      <c r="F29" s="130">
        <f>+CEILING(F28,0.5)</f>
        <v>5</v>
      </c>
      <c r="G29" s="130">
        <f>+CEILING(G28,0.5)</f>
        <v>19.5</v>
      </c>
    </row>
    <row r="30" spans="2:7" ht="15.75" customHeight="1">
      <c r="B30" s="117">
        <v>10</v>
      </c>
      <c r="C30" s="117" t="s">
        <v>162</v>
      </c>
      <c r="D30" s="119" t="s">
        <v>55</v>
      </c>
      <c r="E30" s="130">
        <f>+SQRT(((E24/1000)/E17)*4/PI())*1000</f>
        <v>152.26151859126924</v>
      </c>
      <c r="F30" s="130">
        <f>+SQRT(((F24/1000)/F17)*4/PI())*1000</f>
        <v>228.04707672914319</v>
      </c>
      <c r="G30" s="130">
        <f>+SQRT(((G24/1000)/G17)*4/PI())*1000</f>
        <v>910.93664931708452</v>
      </c>
    </row>
    <row r="31" spans="2:7" ht="12.75" customHeight="1">
      <c r="B31" s="117">
        <v>11</v>
      </c>
      <c r="C31" s="117" t="s">
        <v>163</v>
      </c>
      <c r="D31" s="119" t="s">
        <v>55</v>
      </c>
      <c r="E31" s="130">
        <f>+SQRT(((E7/1000)/E16)*4/PI())*1000</f>
        <v>215.3303046192961</v>
      </c>
      <c r="F31" s="130">
        <f t="shared" ref="F31:G31" si="0">+SQRT(((F7/1000)/F16)*4/PI())*1000</f>
        <v>294.40751010775216</v>
      </c>
      <c r="G31" s="130">
        <f t="shared" si="0"/>
        <v>1115.6649894137379</v>
      </c>
    </row>
    <row r="32" spans="2:7" ht="13.5" customHeight="1">
      <c r="B32" s="117">
        <v>12</v>
      </c>
      <c r="C32" s="117" t="s">
        <v>164</v>
      </c>
      <c r="D32" s="119" t="s">
        <v>55</v>
      </c>
      <c r="E32" s="130">
        <f>+AVERAGE(E30:E31)</f>
        <v>183.79591160528267</v>
      </c>
      <c r="F32" s="130">
        <f t="shared" ref="F32:G32" si="1">+AVERAGE(F30:F31)</f>
        <v>261.22729341844769</v>
      </c>
      <c r="G32" s="130">
        <f t="shared" si="1"/>
        <v>1013.3008193654111</v>
      </c>
    </row>
    <row r="33" spans="2:7" ht="14.25" customHeight="1">
      <c r="B33" s="117">
        <v>13</v>
      </c>
      <c r="C33" s="117" t="s">
        <v>165</v>
      </c>
      <c r="D33" s="119" t="s">
        <v>40</v>
      </c>
      <c r="E33" s="130">
        <f>+CEILING(E32/1000,0.1)</f>
        <v>0.2</v>
      </c>
      <c r="F33" s="130">
        <f>+CEILING(F32/1000,0.1)</f>
        <v>0.30000000000000004</v>
      </c>
      <c r="G33" s="130">
        <f>+CEILING(G32/1000,0.1)</f>
        <v>1.1000000000000001</v>
      </c>
    </row>
    <row r="34" spans="2:7" ht="14.25" customHeight="1">
      <c r="B34" s="117">
        <v>14</v>
      </c>
      <c r="C34" s="117" t="s">
        <v>166</v>
      </c>
      <c r="D34" s="119" t="s">
        <v>167</v>
      </c>
      <c r="E34" s="130">
        <f>+E33^2*PI()/4</f>
        <v>3.1415926535897934E-2</v>
      </c>
      <c r="F34" s="130">
        <f>+F33^2*PI()/4</f>
        <v>7.0685834705770362E-2</v>
      </c>
      <c r="G34" s="130">
        <f>+G33^2*PI()/4</f>
        <v>0.9503317777109126</v>
      </c>
    </row>
    <row r="35" spans="2:7" ht="14.25" customHeight="1">
      <c r="B35" s="117">
        <v>15</v>
      </c>
      <c r="C35" s="117" t="s">
        <v>168</v>
      </c>
      <c r="D35" s="119" t="s">
        <v>146</v>
      </c>
      <c r="E35" s="130">
        <f>+E7/(E34*1000)</f>
        <v>1.3910142026231653</v>
      </c>
      <c r="F35" s="130">
        <f>+F7/(F34*1000)</f>
        <v>1.155677093437949</v>
      </c>
      <c r="G35" s="130">
        <f>+G7/(G34*1000)</f>
        <v>1.2344215225820383</v>
      </c>
    </row>
    <row r="36" spans="2:7" ht="12.75" customHeight="1">
      <c r="B36" s="117">
        <v>16</v>
      </c>
      <c r="C36" s="117" t="s">
        <v>169</v>
      </c>
      <c r="D36" s="119" t="s">
        <v>134</v>
      </c>
      <c r="E36" s="130">
        <f>E7/E18</f>
        <v>21.85</v>
      </c>
      <c r="F36" s="130">
        <f>F7/F18</f>
        <v>40.844999999999999</v>
      </c>
      <c r="G36" s="130">
        <f>G7/G18</f>
        <v>586.55499999999995</v>
      </c>
    </row>
    <row r="37" spans="2:7" ht="15" customHeight="1">
      <c r="B37" s="117">
        <v>17</v>
      </c>
      <c r="C37" s="117" t="s">
        <v>169</v>
      </c>
      <c r="D37" s="119" t="s">
        <v>170</v>
      </c>
      <c r="E37" s="130">
        <f>+CEILING((E36/1000)*3600,0.1)</f>
        <v>78.7</v>
      </c>
      <c r="F37" s="130">
        <f>+CEILING((F36/1000)*3600,0.1)</f>
        <v>147.1</v>
      </c>
      <c r="G37" s="130">
        <f>+CEILING((G36/1000)*3600,0.1)</f>
        <v>2111.6</v>
      </c>
    </row>
    <row r="38" spans="2:7" ht="14.25" customHeight="1">
      <c r="B38" s="117">
        <v>18</v>
      </c>
      <c r="C38" s="117" t="s">
        <v>171</v>
      </c>
      <c r="D38" s="119" t="s">
        <v>170</v>
      </c>
      <c r="E38" s="130">
        <f>CEILING(E37,10)</f>
        <v>80</v>
      </c>
      <c r="F38" s="130">
        <f t="shared" ref="F38:G38" si="2">CEILING(F37,10)</f>
        <v>150</v>
      </c>
      <c r="G38" s="130">
        <f t="shared" si="2"/>
        <v>2120</v>
      </c>
    </row>
    <row r="39" spans="2:7" ht="12.75" customHeight="1">
      <c r="B39" s="117">
        <v>19</v>
      </c>
      <c r="C39" s="117" t="s">
        <v>172</v>
      </c>
      <c r="D39" s="119" t="s">
        <v>40</v>
      </c>
      <c r="E39" s="130">
        <f>+CEILING(E43,0.5)</f>
        <v>11.5</v>
      </c>
      <c r="F39" s="130">
        <f>+CEILING(F43,0.5)</f>
        <v>11</v>
      </c>
      <c r="G39" s="130">
        <f>+CEILING(G43,0.5)</f>
        <v>12.5</v>
      </c>
    </row>
    <row r="40" spans="2:7" ht="14.25" customHeight="1">
      <c r="B40" s="117"/>
      <c r="C40" s="117" t="s">
        <v>173</v>
      </c>
      <c r="D40" s="119"/>
      <c r="E40" s="130"/>
      <c r="F40" s="130"/>
      <c r="G40" s="130"/>
    </row>
    <row r="41" spans="2:7">
      <c r="B41" s="117">
        <v>20</v>
      </c>
      <c r="C41" s="117" t="s">
        <v>174</v>
      </c>
      <c r="D41" s="119" t="s">
        <v>40</v>
      </c>
      <c r="E41" s="130">
        <f>+E11-E10</f>
        <v>3.5</v>
      </c>
      <c r="F41" s="130">
        <f>+F11-F10</f>
        <v>3.5</v>
      </c>
      <c r="G41" s="130">
        <f>+G11-G10</f>
        <v>4.2400000000000091</v>
      </c>
    </row>
    <row r="42" spans="2:7">
      <c r="B42" s="117">
        <v>21</v>
      </c>
      <c r="C42" s="117" t="s">
        <v>175</v>
      </c>
      <c r="D42" s="119" t="s">
        <v>40</v>
      </c>
      <c r="E42" s="130">
        <f>0.01*E12*E16^2/(2*9.81*(E32/1000))</f>
        <v>0.59898907520694711</v>
      </c>
      <c r="F42" s="130">
        <f>0.01*F12*F16^2/(2*9.81*(F32/1000))</f>
        <v>0.42144043096949779</v>
      </c>
      <c r="G42" s="130">
        <f>0.01*G12*G16^2/(2*9.81*(G32/1000))</f>
        <v>0.43458661442003765</v>
      </c>
    </row>
    <row r="43" spans="2:7" ht="15" customHeight="1">
      <c r="B43" s="117">
        <v>22</v>
      </c>
      <c r="C43" s="117" t="s">
        <v>176</v>
      </c>
      <c r="D43" s="119" t="s">
        <v>40</v>
      </c>
      <c r="E43" s="130">
        <f>+E42+E13+E41</f>
        <v>11.098989075206948</v>
      </c>
      <c r="F43" s="130">
        <f>+F42+F13+F41</f>
        <v>10.921440430969497</v>
      </c>
      <c r="G43" s="130">
        <f>+G42+G13+G41</f>
        <v>12.174586614420047</v>
      </c>
    </row>
    <row r="44" spans="2:7">
      <c r="B44" s="117">
        <v>23</v>
      </c>
      <c r="C44" s="117" t="s">
        <v>184</v>
      </c>
      <c r="D44" s="124"/>
      <c r="E44" s="130">
        <f>+CEILING(E36*E39/(102*0.5),1)</f>
        <v>5</v>
      </c>
      <c r="F44" s="130">
        <f t="shared" ref="F44:G44" si="3">+CEILING(F36*F39/(102*0.5),1)</f>
        <v>9</v>
      </c>
      <c r="G44" s="130">
        <f t="shared" si="3"/>
        <v>144</v>
      </c>
    </row>
    <row r="45" spans="2:7">
      <c r="B45" s="117"/>
      <c r="C45" s="117" t="s">
        <v>184</v>
      </c>
      <c r="D45" s="124"/>
      <c r="E45" s="130">
        <f>CEILING(E44*1.2,1)</f>
        <v>6</v>
      </c>
      <c r="F45" s="130">
        <f t="shared" ref="F45:G45" si="4">CEILING(F44*1.2,1)</f>
        <v>11</v>
      </c>
      <c r="G45" s="130">
        <f t="shared" si="4"/>
        <v>173</v>
      </c>
    </row>
    <row r="46" spans="2:7" ht="15.75" customHeight="1">
      <c r="B46" s="117">
        <v>24</v>
      </c>
      <c r="C46" s="117" t="s">
        <v>177</v>
      </c>
      <c r="D46" s="119" t="s">
        <v>55</v>
      </c>
      <c r="E46" s="130">
        <f>+CEILING(E32,100)</f>
        <v>200</v>
      </c>
      <c r="F46" s="130">
        <f>+CEILING(F32,10)</f>
        <v>270</v>
      </c>
      <c r="G46" s="130">
        <f>+CEILING(G32,100)</f>
        <v>1100</v>
      </c>
    </row>
    <row r="47" spans="2:7">
      <c r="B47" s="116" t="s">
        <v>36</v>
      </c>
      <c r="C47" s="131" t="s">
        <v>178</v>
      </c>
      <c r="D47" s="119"/>
      <c r="E47" s="130"/>
      <c r="F47" s="130"/>
      <c r="G47" s="117"/>
    </row>
    <row r="48" spans="2:7" ht="13.5" customHeight="1">
      <c r="B48" s="117">
        <v>1</v>
      </c>
      <c r="C48" s="117" t="s">
        <v>179</v>
      </c>
      <c r="D48" s="119" t="s">
        <v>40</v>
      </c>
      <c r="E48" s="130">
        <f>E29</f>
        <v>3.5</v>
      </c>
      <c r="F48" s="130">
        <f>F29</f>
        <v>5</v>
      </c>
      <c r="G48" s="130">
        <f>G29</f>
        <v>19.5</v>
      </c>
    </row>
    <row r="49" spans="2:7" ht="14.25" customHeight="1">
      <c r="B49" s="117">
        <v>2</v>
      </c>
      <c r="C49" s="117" t="s">
        <v>169</v>
      </c>
      <c r="D49" s="119" t="s">
        <v>170</v>
      </c>
      <c r="E49" s="130">
        <f t="shared" ref="E49:G50" si="5">E38</f>
        <v>80</v>
      </c>
      <c r="F49" s="130">
        <f t="shared" si="5"/>
        <v>150</v>
      </c>
      <c r="G49" s="130">
        <f t="shared" si="5"/>
        <v>2120</v>
      </c>
    </row>
    <row r="50" spans="2:7" ht="15.75" customHeight="1">
      <c r="B50" s="117">
        <v>3</v>
      </c>
      <c r="C50" s="117" t="s">
        <v>172</v>
      </c>
      <c r="D50" s="119" t="s">
        <v>40</v>
      </c>
      <c r="E50" s="130">
        <f t="shared" si="5"/>
        <v>11.5</v>
      </c>
      <c r="F50" s="130">
        <f t="shared" si="5"/>
        <v>11</v>
      </c>
      <c r="G50" s="130">
        <f>G45</f>
        <v>173</v>
      </c>
    </row>
    <row r="51" spans="2:7">
      <c r="B51" s="117">
        <v>4</v>
      </c>
      <c r="C51" s="117" t="s">
        <v>180</v>
      </c>
      <c r="D51" s="119"/>
      <c r="E51" s="130">
        <f>E45</f>
        <v>6</v>
      </c>
      <c r="F51" s="130">
        <f>F45</f>
        <v>11</v>
      </c>
      <c r="G51" s="130">
        <f t="shared" ref="G51" si="6">G44</f>
        <v>144</v>
      </c>
    </row>
    <row r="52" spans="2:7">
      <c r="B52" s="117">
        <v>5</v>
      </c>
      <c r="C52" s="117" t="s">
        <v>181</v>
      </c>
      <c r="D52" s="119"/>
      <c r="E52" s="130">
        <f>E18+E18*E19</f>
        <v>4</v>
      </c>
      <c r="F52" s="130">
        <f t="shared" ref="F52:G52" si="7">F18+F18*F19</f>
        <v>4</v>
      </c>
      <c r="G52" s="130">
        <f t="shared" si="7"/>
        <v>4</v>
      </c>
    </row>
    <row r="53" spans="2:7">
      <c r="B53" s="117">
        <v>6</v>
      </c>
      <c r="C53" s="117" t="s">
        <v>182</v>
      </c>
      <c r="D53" s="119"/>
      <c r="E53" s="130">
        <f>E51*E52</f>
        <v>24</v>
      </c>
      <c r="F53" s="130">
        <f t="shared" ref="F53:G53" si="8">F51*F52</f>
        <v>44</v>
      </c>
      <c r="G53" s="130">
        <f t="shared" si="8"/>
        <v>576</v>
      </c>
    </row>
    <row r="54" spans="2:7" ht="14.25" customHeight="1">
      <c r="B54" s="117">
        <v>7</v>
      </c>
      <c r="C54" s="117" t="s">
        <v>177</v>
      </c>
      <c r="D54" s="119" t="s">
        <v>55</v>
      </c>
      <c r="E54" s="130">
        <f>E46</f>
        <v>200</v>
      </c>
      <c r="F54" s="130">
        <f>F46</f>
        <v>270</v>
      </c>
      <c r="G54" s="130">
        <f>G46</f>
        <v>1100</v>
      </c>
    </row>
    <row r="55" spans="2:7">
      <c r="B55" s="132">
        <v>8</v>
      </c>
      <c r="C55" s="132" t="s">
        <v>183</v>
      </c>
      <c r="D55" s="132"/>
      <c r="E55" s="157" t="s">
        <v>64</v>
      </c>
      <c r="F55" s="157" t="s">
        <v>64</v>
      </c>
      <c r="G55" s="157" t="s">
        <v>64</v>
      </c>
    </row>
  </sheetData>
  <mergeCells count="2">
    <mergeCell ref="C6:G6"/>
    <mergeCell ref="C14:G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B2:G12"/>
  <sheetViews>
    <sheetView tabSelected="1" workbookViewId="0">
      <selection activeCell="D5" sqref="D5"/>
    </sheetView>
  </sheetViews>
  <sheetFormatPr defaultRowHeight="12.75"/>
  <cols>
    <col min="1" max="1" width="9.140625" style="53"/>
    <col min="2" max="2" width="4.5703125" style="53" customWidth="1"/>
    <col min="3" max="3" width="38" style="53" customWidth="1"/>
    <col min="4" max="5" width="12" style="53" bestFit="1" customWidth="1"/>
    <col min="6" max="6" width="9.140625" style="53"/>
    <col min="7" max="7" width="15.7109375" style="53" customWidth="1"/>
    <col min="8" max="9" width="9.140625" style="53"/>
    <col min="10" max="10" width="16" style="53" customWidth="1"/>
    <col min="11" max="11" width="10" style="53" bestFit="1" customWidth="1"/>
    <col min="12" max="16384" width="9.140625" style="53"/>
  </cols>
  <sheetData>
    <row r="2" spans="2:7">
      <c r="B2" s="54" t="s">
        <v>59</v>
      </c>
      <c r="C2" s="54"/>
      <c r="D2" s="54"/>
      <c r="E2" s="54"/>
      <c r="F2" s="54"/>
      <c r="G2" s="54"/>
    </row>
    <row r="3" spans="2:7">
      <c r="B3" s="62" t="s">
        <v>41</v>
      </c>
      <c r="C3" s="63" t="s">
        <v>42</v>
      </c>
      <c r="D3" s="63" t="s">
        <v>6</v>
      </c>
      <c r="E3" s="63" t="s">
        <v>43</v>
      </c>
      <c r="F3" s="63" t="s">
        <v>58</v>
      </c>
      <c r="G3" s="73" t="s">
        <v>45</v>
      </c>
    </row>
    <row r="4" spans="2:7" s="55" customFormat="1">
      <c r="B4" s="56"/>
      <c r="C4" s="57"/>
      <c r="D4" s="57"/>
      <c r="E4" s="57"/>
      <c r="F4" s="57"/>
      <c r="G4" s="58" t="s">
        <v>32</v>
      </c>
    </row>
    <row r="5" spans="2:7">
      <c r="B5" s="71">
        <v>1</v>
      </c>
      <c r="C5" s="59" t="s">
        <v>119</v>
      </c>
      <c r="D5" s="75">
        <f>'INPUT DATA'!F26+'INPUT DATA'!F27-'INPUT DATA'!F21</f>
        <v>205</v>
      </c>
      <c r="E5" s="75">
        <f>'INPUT DATA'!L24</f>
        <v>5500000</v>
      </c>
      <c r="F5" s="59" t="s">
        <v>47</v>
      </c>
      <c r="G5" s="67">
        <f>D5*E5</f>
        <v>1127500000</v>
      </c>
    </row>
    <row r="6" spans="2:7">
      <c r="B6" s="71">
        <v>2</v>
      </c>
      <c r="C6" s="59" t="s">
        <v>120</v>
      </c>
      <c r="D6" s="75">
        <f>'SPS_Pumping Main'!E53+'SPS_Pumping Main'!F53+'SPS_Pumping Main'!G53</f>
        <v>644</v>
      </c>
      <c r="E6" s="75">
        <f>'INPUT DATA'!L25</f>
        <v>25000</v>
      </c>
      <c r="F6" s="59" t="s">
        <v>46</v>
      </c>
      <c r="G6" s="67">
        <f t="shared" ref="G6:G7" si="0">D6*E6</f>
        <v>16100000</v>
      </c>
    </row>
    <row r="7" spans="2:7">
      <c r="B7" s="71">
        <v>3</v>
      </c>
      <c r="C7" s="59" t="s">
        <v>121</v>
      </c>
      <c r="D7" s="75">
        <f>'Waste Generation_STP'!H22</f>
        <v>39.956242109845263</v>
      </c>
      <c r="E7" s="75">
        <f>'INPUT DATA'!L26</f>
        <v>7000000</v>
      </c>
      <c r="F7" s="59" t="s">
        <v>8</v>
      </c>
      <c r="G7" s="67">
        <f t="shared" si="0"/>
        <v>279693694.76891685</v>
      </c>
    </row>
    <row r="8" spans="2:7">
      <c r="B8" s="71">
        <v>4</v>
      </c>
      <c r="C8" s="59" t="s">
        <v>122</v>
      </c>
      <c r="D8" s="75">
        <f>'Waste Generation_STP'!H20</f>
        <v>15.982496843938106</v>
      </c>
      <c r="E8" s="75">
        <f>'INPUT DATA'!L27</f>
        <v>10000000</v>
      </c>
      <c r="F8" s="59" t="s">
        <v>123</v>
      </c>
      <c r="G8" s="67">
        <f t="shared" ref="G8" si="1">D8*E8</f>
        <v>159824968.43938106</v>
      </c>
    </row>
    <row r="9" spans="2:7">
      <c r="B9" s="71">
        <v>5</v>
      </c>
      <c r="C9" s="59" t="s">
        <v>49</v>
      </c>
      <c r="D9" s="59"/>
      <c r="E9" s="59"/>
      <c r="F9" s="59"/>
      <c r="G9" s="81">
        <f>SUM(G5:G8)</f>
        <v>1583118663.208298</v>
      </c>
    </row>
    <row r="10" spans="2:7">
      <c r="B10" s="71">
        <v>6</v>
      </c>
      <c r="C10" s="59" t="s">
        <v>48</v>
      </c>
      <c r="D10" s="82">
        <v>0.1</v>
      </c>
      <c r="E10" s="59"/>
      <c r="F10" s="59"/>
      <c r="G10" s="67">
        <f>G9*D10</f>
        <v>158311866.32082981</v>
      </c>
    </row>
    <row r="11" spans="2:7">
      <c r="B11" s="71">
        <v>7</v>
      </c>
      <c r="C11" s="59" t="s">
        <v>56</v>
      </c>
      <c r="D11" s="82">
        <v>0.05</v>
      </c>
      <c r="E11" s="59"/>
      <c r="F11" s="59"/>
      <c r="G11" s="67">
        <f>G9*D11</f>
        <v>79155933.160414904</v>
      </c>
    </row>
    <row r="12" spans="2:7">
      <c r="B12" s="72">
        <v>8</v>
      </c>
      <c r="C12" s="60" t="s">
        <v>50</v>
      </c>
      <c r="D12" s="60"/>
      <c r="E12" s="60"/>
      <c r="F12" s="60"/>
      <c r="G12" s="83">
        <f>G9+G10+G11</f>
        <v>1820586462.6895428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 DATA</vt:lpstr>
      <vt:lpstr>OUTPUT</vt:lpstr>
      <vt:lpstr>Pop_Projection</vt:lpstr>
      <vt:lpstr>Waste Generation_STP</vt:lpstr>
      <vt:lpstr>SPS_Pumping Main</vt:lpstr>
      <vt:lpstr>Estimate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</dc:creator>
  <cp:lastModifiedBy>IBM</cp:lastModifiedBy>
  <dcterms:created xsi:type="dcterms:W3CDTF">2010-02-10T05:19:16Z</dcterms:created>
  <dcterms:modified xsi:type="dcterms:W3CDTF">2010-08-31T12:23:53Z</dcterms:modified>
</cp:coreProperties>
</file>